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46q96lPK3P9FoGqEmvJB+uLFXzZP8C+LIHfTu9NYWc1pFYuYxQsp5R6udbxvDzmQ8fI59+UooeeWgfFCd/7dIA==" workbookSaltValue="yOYX74HOazWRgfyTaHed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BH9" i="16"/>
  <c r="BJ17" i="11"/>
  <c r="BG10" i="11"/>
  <c r="BM16" i="11"/>
  <c r="P17" i="17"/>
  <c r="BL17" i="11"/>
  <c r="BK12" i="11"/>
  <c r="BF10" i="11"/>
  <c r="BK9" i="11"/>
  <c r="S13" i="16"/>
  <c r="H18" i="16"/>
  <c r="BN18" i="16"/>
  <c r="P13" i="16"/>
  <c r="AM13" i="20"/>
  <c r="AN13" i="20"/>
  <c r="AT17" i="20"/>
  <c r="X11" i="17"/>
  <c r="Z13" i="17"/>
  <c r="V17" i="16"/>
  <c r="M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H9" i="7" s="1"/>
  <c r="S15" i="17"/>
  <c r="L15" i="2"/>
  <c r="L12" i="2"/>
  <c r="L17" i="2"/>
  <c r="X10" i="21"/>
  <c r="X15" i="16"/>
  <c r="X18" i="16" s="1"/>
  <c r="AA11" i="16"/>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F17" i="16"/>
  <c r="BL17" i="16" s="1"/>
  <c r="AM19" i="8"/>
  <c r="AK19" i="8"/>
  <c r="AA19" i="8"/>
  <c r="AI19" i="8"/>
  <c r="D18" i="12"/>
  <c r="BG12" i="8"/>
  <c r="BE12" i="8"/>
  <c r="R19" i="8"/>
  <c r="T19" i="8"/>
  <c r="BG10" i="8"/>
  <c r="K10" i="7" s="1"/>
  <c r="N13" i="2"/>
  <c r="F17" i="17"/>
  <c r="AQ17" i="17" s="1"/>
  <c r="BL12" i="11"/>
  <c r="S17" i="16"/>
  <c r="BF16" i="11"/>
  <c r="BF17" i="11"/>
  <c r="V11" i="16"/>
  <c r="Q17" i="20"/>
  <c r="Q18" i="20" s="1"/>
  <c r="BH15" i="16"/>
  <c r="BH15" i="11"/>
  <c r="V15" i="11"/>
  <c r="AP16" i="20"/>
  <c r="E12" i="6"/>
  <c r="S12" i="14"/>
  <c r="V12" i="14" s="1"/>
  <c r="S16" i="14"/>
  <c r="V16" i="14" s="1"/>
  <c r="R17" i="14"/>
  <c r="T11" i="11"/>
  <c r="S11" i="14"/>
  <c r="V11" i="14" s="1"/>
  <c r="X16" i="17"/>
  <c r="X10" i="17"/>
  <c r="X17" i="17"/>
  <c r="T17" i="20"/>
  <c r="X17" i="20"/>
  <c r="U10" i="21"/>
  <c r="V12" i="21"/>
  <c r="AA12" i="21"/>
  <c r="X16" i="20"/>
  <c r="L11" i="2"/>
  <c r="X9" i="16"/>
  <c r="X19" i="16" s="1"/>
  <c r="V15" i="20"/>
  <c r="V18" i="20" s="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<sst xmlns="http://schemas.openxmlformats.org/spreadsheetml/2006/main" count="2094" uniqueCount="913">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</sst>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en13cM3It4ac+XAqx76fAZozQg79cO4HDyp1viCGVQe4uXtMFSXKxoGnnsO4KHQNYghizQylyEhGANNMA1hg==" saltValue="4h49tTi8a1DX/buOAzB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30.850574712643681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862</v>
      </c>
      <c r="D16" s="228">
        <f>IF(ISNUMBER(IF(D_I="SI",Datos!I16,Datos!I16+Datos!AC16)),IF(D_I="SI",Datos!I16,Datos!I16+Datos!AC16)," - ")</f>
        <v>862</v>
      </c>
      <c r="E16" s="229">
        <f>IF(ISNUMBER(IF(D_I="SI",Datos!J16,Datos!J16+Datos!AD16)),IF(D_I="SI",Datos!J16,Datos!J16+Datos!AD16)," - ")</f>
        <v>349</v>
      </c>
      <c r="F16" s="229">
        <f>IF(ISNUMBER(IF(D_I="SI",Datos!K16,Datos!K16+Datos!AE16)),IF(D_I="SI",Datos!K16,Datos!K16+Datos!AE16)," - ")</f>
        <v>341</v>
      </c>
      <c r="G16" s="1037" t="str">
        <f>IF(Datos!E16&lt;&gt;"",Datos!E16,Datos!D16)</f>
        <v>04</v>
      </c>
      <c r="H16" s="230">
        <f>IF(ISNUMBER(IF(D_I="SI",Datos!L16,Datos!L16+Datos!AF16)),IF(D_I="SI",Datos!L16,Datos!L16+Datos!AF16)," - ")</f>
        <v>870</v>
      </c>
      <c r="I16" s="1047" t="str">
        <f>IF(ISNUMBER(Datos!AS16/Datos!BM16),Datos!AS16/Datos!BM16," - ")</f>
        <v xml:space="preserve"> - </v>
      </c>
      <c r="J16" s="1048">
        <f>IF(ISNUMBER(Datos!BY16/Datos!CN16),Datos!BY16/Datos!CN16," - ")</f>
        <v>0</v>
      </c>
      <c r="K16" s="233">
        <f t="shared" si="3"/>
        <v>9.2807424593967514E-3</v>
      </c>
      <c r="L16" s="1028">
        <f>IF(ISNUMBER(NºAsuntos!I16/NºAsuntos!G16),(NºAsuntos!I16/NºAsuntos!G16)*11," - ")</f>
        <v>28.064516129032256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63</v>
      </c>
      <c r="E17" s="229">
        <f>IF(ISNUMBER(IF(D_I="SI",Datos!J17,Datos!J17+Datos!AD17)),IF(D_I="SI",Datos!J17,Datos!J17+Datos!AD17)," - ")</f>
        <v>13</v>
      </c>
      <c r="F17" s="229">
        <f>IF(ISNUMBER(IF(D_I="SI",Datos!K17,Datos!K17+Datos!AE17)),IF(D_I="SI",Datos!K17,Datos!K17+Datos!AE17)," - ")</f>
        <v>11</v>
      </c>
      <c r="G17" s="1037" t="str">
        <f>IF(Datos!E17&lt;&gt;"",Datos!E17,Datos!D17)</f>
        <v>37</v>
      </c>
      <c r="H17" s="230">
        <f>IF(ISNUMBER(IF(D_I="SI",Datos!L17,Datos!L17+Datos!AF17)),IF(D_I="SI",Datos!L17,Datos!L17+Datos!AF17)," - ")</f>
        <v>65</v>
      </c>
      <c r="I17" s="1047" t="str">
        <f>IF(ISNUMBER(Datos!AS17/Datos!BM17),Datos!AS17/Datos!BM17," - ")</f>
        <v xml:space="preserve"> - </v>
      </c>
      <c r="J17" s="1048" t="str">
        <f>IF(ISNUMBER((Datos!BY17+Datos!BZ17)/Datos!CN17),(Datos!BY17+Datos!BZ17)/Datos!CN17," - ")</f>
        <v xml:space="preserve"> - </v>
      </c>
      <c r="K17" s="233">
        <f t="shared" si="3"/>
        <v>3.1746031746031744E-2</v>
      </c>
      <c r="L17" s="1028">
        <f>IF(ISNUMBER(NºAsuntos!I17/NºAsuntos!G17),(NºAsuntos!I17/NºAsuntos!G17)*11," - ")</f>
        <v>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925</v>
      </c>
      <c r="D18" s="1052">
        <f>SUBTOTAL(9,D15:D17)</f>
        <v>925</v>
      </c>
      <c r="E18" s="1053">
        <f>SUBTOTAL(9,E15:E17)</f>
        <v>362</v>
      </c>
      <c r="F18" s="1053">
        <f>SUBTOTAL(9,F15:F17)</f>
        <v>352</v>
      </c>
      <c r="G18" s="1055" t="str">
        <f ca="1">INDIRECT(CONCATENATE("G",ROW()-1))</f>
        <v>37</v>
      </c>
      <c r="H18" s="1056">
        <f ca="1">SUMIF(G$14:G17,G18,H$14:H17)</f>
        <v>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926</v>
      </c>
      <c r="D19" s="1074">
        <f>SUBTOTAL(9,D9:D18)</f>
        <v>926</v>
      </c>
      <c r="E19" s="1075">
        <f>SUBTOTAL(9,E9:E18)</f>
        <v>364</v>
      </c>
      <c r="F19" s="1075">
        <f>SUBTOTAL(9,F9:F18)</f>
        <v>353</v>
      </c>
      <c r="G19" s="1076"/>
      <c r="H19" s="1077">
        <f ca="1">SUMIF(B9:B18,"TOTAL",H9:H18)</f>
        <v>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Cmn/z7lhmMO+DCsjxic86YYj9ZcJe3X4crX9H5AhsUe4bJ1UAsACXuw/93iouieEuG69X1NAzNZByzhN0LUfA==" saltValue="ThCQcshVVFhGM/psptmba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Bm8QHyAAKinDBQrfsZV3AMg34ZLXI80kyINJKjw62nZuBOOV3uPxFs5QspZpxxFvTIF6gSlkbiZYNYIBhNPfQ==" saltValue="Yx/ExkVdvugyHDHKXl6M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1</v>
      </c>
      <c r="L10" s="184">
        <v>2</v>
      </c>
      <c r="M10" s="184">
        <v>1</v>
      </c>
      <c r="N10" s="184">
        <v>0</v>
      </c>
      <c r="O10" s="184">
        <v>0</v>
      </c>
      <c r="P10" s="184">
        <v>0</v>
      </c>
      <c r="Q10" s="184">
        <v>0</v>
      </c>
      <c r="R10" s="184">
        <v>0</v>
      </c>
      <c r="S10" s="184">
        <v>4</v>
      </c>
      <c r="T10" s="184">
        <v>0</v>
      </c>
      <c r="U10" s="184">
        <v>2</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2</v>
      </c>
      <c r="BB10" s="129">
        <f t="shared" si="0"/>
        <v>2</v>
      </c>
      <c r="BC10" s="125">
        <f t="shared" si="0"/>
        <v>0</v>
      </c>
      <c r="BD10" s="126" t="str">
        <f>IF(ISNUMBER(BA10/AZ10),BA10/AZ10," - ")</f>
        <v xml:space="preserve"> - </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1018</v>
      </c>
      <c r="J12" s="186">
        <v>240</v>
      </c>
      <c r="K12" s="186">
        <v>327</v>
      </c>
      <c r="L12" s="186">
        <v>931</v>
      </c>
      <c r="M12" s="186">
        <v>79</v>
      </c>
      <c r="N12" s="186">
        <v>150</v>
      </c>
      <c r="O12" s="184">
        <v>135</v>
      </c>
      <c r="P12" s="186">
        <v>82</v>
      </c>
      <c r="Q12" s="186">
        <v>23</v>
      </c>
      <c r="R12" s="186">
        <v>1382</v>
      </c>
      <c r="S12" s="186">
        <v>768</v>
      </c>
      <c r="T12" s="186">
        <v>250</v>
      </c>
      <c r="U12" s="186">
        <v>243</v>
      </c>
      <c r="V12" s="186">
        <v>752</v>
      </c>
      <c r="W12" s="186">
        <v>64</v>
      </c>
      <c r="X12" s="192">
        <v>102</v>
      </c>
      <c r="Y12" s="194">
        <v>57</v>
      </c>
      <c r="Z12" s="184">
        <v>9</v>
      </c>
      <c r="AA12" s="184">
        <v>21</v>
      </c>
      <c r="AB12" s="184">
        <v>45</v>
      </c>
      <c r="AC12" s="186">
        <v>0</v>
      </c>
      <c r="AD12" s="186">
        <v>0</v>
      </c>
      <c r="AE12" s="186">
        <v>0</v>
      </c>
      <c r="AF12" s="192">
        <v>0</v>
      </c>
      <c r="AG12" s="205">
        <v>45</v>
      </c>
      <c r="AH12" s="186">
        <v>18</v>
      </c>
      <c r="AI12" s="186">
        <v>17</v>
      </c>
      <c r="AJ12" s="206">
        <v>43</v>
      </c>
      <c r="AK12" s="185">
        <v>0</v>
      </c>
      <c r="AL12" s="186">
        <v>0</v>
      </c>
      <c r="AM12" s="186">
        <v>0</v>
      </c>
      <c r="AN12" s="192">
        <v>0</v>
      </c>
      <c r="AO12" s="262">
        <v>2</v>
      </c>
      <c r="AP12" s="158">
        <v>2</v>
      </c>
      <c r="AQ12" s="158">
        <v>2</v>
      </c>
      <c r="AR12" s="157">
        <v>2</v>
      </c>
      <c r="AS12" s="343" t="s">
        <v>807</v>
      </c>
      <c r="AT12" s="206"/>
      <c r="AU12" s="205"/>
      <c r="AV12" s="206"/>
      <c r="AW12" s="205"/>
      <c r="AX12" s="206"/>
      <c r="AY12" s="126">
        <f t="shared" si="1"/>
        <v>813</v>
      </c>
      <c r="AZ12" s="127">
        <f t="shared" si="1"/>
        <v>268</v>
      </c>
      <c r="BA12" s="127">
        <f t="shared" si="1"/>
        <v>260</v>
      </c>
      <c r="BB12" s="127">
        <f t="shared" si="1"/>
        <v>795</v>
      </c>
      <c r="BC12" s="125">
        <f>IF(ISNUMBER(X12),X12," - ")</f>
        <v>102</v>
      </c>
      <c r="BD12" s="126">
        <f t="shared" si="2"/>
        <v>0.97014925373134331</v>
      </c>
      <c r="BE12" s="127">
        <f t="shared" si="3"/>
        <v>3.0576923076923075</v>
      </c>
      <c r="BF12" s="127">
        <f t="shared" si="4"/>
        <v>0.3923076923076923</v>
      </c>
      <c r="BG12" s="199">
        <f t="shared" si="5"/>
        <v>4.157692307692308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1019</v>
      </c>
      <c r="J13" s="187">
        <f t="shared" si="6"/>
        <v>242</v>
      </c>
      <c r="K13" s="187">
        <f t="shared" si="6"/>
        <v>328</v>
      </c>
      <c r="L13" s="187">
        <f t="shared" si="6"/>
        <v>933</v>
      </c>
      <c r="M13" s="187">
        <f t="shared" si="6"/>
        <v>80</v>
      </c>
      <c r="N13" s="187">
        <f t="shared" si="6"/>
        <v>150</v>
      </c>
      <c r="O13" s="187">
        <f t="shared" si="6"/>
        <v>135</v>
      </c>
      <c r="P13" s="187">
        <f t="shared" si="6"/>
        <v>82</v>
      </c>
      <c r="Q13" s="187">
        <f t="shared" si="6"/>
        <v>23</v>
      </c>
      <c r="R13" s="187">
        <f t="shared" si="6"/>
        <v>1382</v>
      </c>
      <c r="S13" s="187">
        <f t="shared" si="6"/>
        <v>772</v>
      </c>
      <c r="T13" s="187">
        <f t="shared" si="6"/>
        <v>250</v>
      </c>
      <c r="U13" s="187">
        <f t="shared" si="6"/>
        <v>245</v>
      </c>
      <c r="V13" s="187">
        <f t="shared" si="6"/>
        <v>754</v>
      </c>
      <c r="W13" s="187">
        <f t="shared" si="6"/>
        <v>64</v>
      </c>
      <c r="X13" s="187">
        <f t="shared" si="6"/>
        <v>102</v>
      </c>
      <c r="Y13" s="187">
        <f t="shared" si="6"/>
        <v>57</v>
      </c>
      <c r="Z13" s="187">
        <f t="shared" si="6"/>
        <v>9</v>
      </c>
      <c r="AA13" s="187">
        <f t="shared" si="6"/>
        <v>21</v>
      </c>
      <c r="AB13" s="187">
        <f t="shared" si="6"/>
        <v>45</v>
      </c>
      <c r="AC13" s="187">
        <f t="shared" si="6"/>
        <v>0</v>
      </c>
      <c r="AD13" s="187">
        <f t="shared" si="6"/>
        <v>0</v>
      </c>
      <c r="AE13" s="187">
        <f t="shared" si="6"/>
        <v>0</v>
      </c>
      <c r="AF13" s="187">
        <f>SUBTOTAL(9,AF9:AF12)</f>
        <v>0</v>
      </c>
      <c r="AG13" s="187">
        <f t="shared" ref="AG13:AT13" si="7">SUBTOTAL(9,AG8:AG12)</f>
        <v>45</v>
      </c>
      <c r="AH13" s="187">
        <f t="shared" si="7"/>
        <v>18</v>
      </c>
      <c r="AI13" s="187">
        <f t="shared" si="7"/>
        <v>17</v>
      </c>
      <c r="AJ13" s="187">
        <f t="shared" si="7"/>
        <v>43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817</v>
      </c>
      <c r="AZ13" s="187">
        <f>SUBTOTAL(9,AZ8:AZ12)</f>
        <v>268</v>
      </c>
      <c r="BA13" s="187">
        <f>SUBTOTAL(9,BA8:BA12)</f>
        <v>262</v>
      </c>
      <c r="BB13" s="187">
        <f>SUBTOTAL(9,BB8:BB12)</f>
        <v>797</v>
      </c>
      <c r="BC13" s="187">
        <f>SUBTOTAL(9,BC8:BC12)</f>
        <v>102</v>
      </c>
      <c r="BD13" s="208">
        <f>IF(ISNUMBER(BA13/AZ13),BA13/AZ13," - ")</f>
        <v>0.97761194029850751</v>
      </c>
      <c r="BE13" s="209">
        <f>IF(ISNUMBER(BB13/BA13),BB13/BA13, " - ")</f>
        <v>3.0419847328244276</v>
      </c>
      <c r="BF13" s="209">
        <f>IF(ISNUMBER(BC13/BA13),BC13/BA13, " - ")</f>
        <v>0.38931297709923662</v>
      </c>
      <c r="BG13" s="210">
        <f>IF(ISNUMBER((AY13+AZ13)/BA13),(AY13+AZ13)/BA13," - ")</f>
        <v>4.1412213740458013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862</v>
      </c>
      <c r="J16" s="186">
        <v>349</v>
      </c>
      <c r="K16" s="186">
        <v>341</v>
      </c>
      <c r="L16" s="186">
        <v>870</v>
      </c>
      <c r="M16" s="186">
        <v>36</v>
      </c>
      <c r="N16" s="186">
        <v>246</v>
      </c>
      <c r="O16" s="184">
        <v>1</v>
      </c>
      <c r="P16" s="186">
        <v>1</v>
      </c>
      <c r="Q16" s="186">
        <v>1</v>
      </c>
      <c r="R16" s="186">
        <v>52</v>
      </c>
      <c r="S16" s="186">
        <v>714</v>
      </c>
      <c r="T16" s="186">
        <v>273</v>
      </c>
      <c r="U16" s="186">
        <v>254</v>
      </c>
      <c r="V16" s="186">
        <v>669</v>
      </c>
      <c r="W16" s="186">
        <v>47</v>
      </c>
      <c r="X16" s="192">
        <v>151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714</v>
      </c>
      <c r="AZ16" s="127">
        <f t="shared" si="9"/>
        <v>273</v>
      </c>
      <c r="BA16" s="127">
        <f t="shared" si="9"/>
        <v>254</v>
      </c>
      <c r="BB16" s="127">
        <f t="shared" si="9"/>
        <v>669</v>
      </c>
      <c r="BC16" s="125">
        <f>IF(ISNUMBER(W16),W16," - ")</f>
        <v>47</v>
      </c>
      <c r="BD16" s="126">
        <f t="shared" ref="BD16" si="11">IF(ISNUMBER(BA16/AZ16),BA16/AZ16," - ")</f>
        <v>0.93040293040293043</v>
      </c>
      <c r="BE16" s="127">
        <f t="shared" ref="BE16" si="12">IF(ISNUMBER(BB16/BA16),BB16/BA16, " - ")</f>
        <v>2.6338582677165356</v>
      </c>
      <c r="BF16" s="127">
        <f t="shared" ref="BF16" si="13">IF(ISNUMBER(BC16/BA16),BC16/BA16, " - ")</f>
        <v>0.18503937007874016</v>
      </c>
      <c r="BG16" s="199">
        <f t="shared" si="10"/>
        <v>3.8858267716535435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63</v>
      </c>
      <c r="J17" s="186">
        <v>13</v>
      </c>
      <c r="K17" s="186">
        <v>11</v>
      </c>
      <c r="L17" s="186">
        <v>65</v>
      </c>
      <c r="M17" s="186">
        <v>3</v>
      </c>
      <c r="N17" s="186">
        <v>10</v>
      </c>
      <c r="O17" s="186">
        <v>0</v>
      </c>
      <c r="P17" s="186">
        <v>0</v>
      </c>
      <c r="Q17" s="186">
        <v>0</v>
      </c>
      <c r="R17" s="186">
        <v>0</v>
      </c>
      <c r="S17" s="186">
        <v>61</v>
      </c>
      <c r="T17" s="186">
        <v>17</v>
      </c>
      <c r="U17" s="186">
        <v>14</v>
      </c>
      <c r="V17" s="186">
        <v>64</v>
      </c>
      <c r="W17" s="186">
        <v>0</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61</v>
      </c>
      <c r="AZ17" s="129">
        <f t="shared" si="14"/>
        <v>17</v>
      </c>
      <c r="BA17" s="129">
        <f t="shared" si="14"/>
        <v>14</v>
      </c>
      <c r="BB17" s="129">
        <f t="shared" si="14"/>
        <v>64</v>
      </c>
      <c r="BC17" s="125">
        <f>IF(ISNUMBER(W17),W17," - ")</f>
        <v>0</v>
      </c>
      <c r="BD17" s="126">
        <f>IF(ISNUMBER(BA17/AZ17),BA17/AZ17," - ")</f>
        <v>0.82352941176470584</v>
      </c>
      <c r="BE17" s="127">
        <f>IF(ISNUMBER(BB17/BA17),BB17/BA17, " - ")</f>
        <v>4.5714285714285712</v>
      </c>
      <c r="BF17" s="127">
        <f>IF(ISNUMBER(BC17/BA17),BC17/BA17, " - ")</f>
        <v>0</v>
      </c>
      <c r="BG17" s="199">
        <f>IF(ISNUMBER((AY17+AZ17)/BA17),(AY17+AZ17)/BA17," - ")</f>
        <v>5.5714285714285712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925</v>
      </c>
      <c r="J18" s="187">
        <f t="shared" si="15"/>
        <v>362</v>
      </c>
      <c r="K18" s="187">
        <f t="shared" si="15"/>
        <v>352</v>
      </c>
      <c r="L18" s="187">
        <f t="shared" si="15"/>
        <v>935</v>
      </c>
      <c r="M18" s="187">
        <f t="shared" si="15"/>
        <v>39</v>
      </c>
      <c r="N18" s="187">
        <f t="shared" si="15"/>
        <v>256</v>
      </c>
      <c r="O18" s="187">
        <f t="shared" si="15"/>
        <v>1</v>
      </c>
      <c r="P18" s="187">
        <f t="shared" si="15"/>
        <v>1</v>
      </c>
      <c r="Q18" s="187">
        <f t="shared" si="15"/>
        <v>1</v>
      </c>
      <c r="R18" s="187">
        <f t="shared" si="15"/>
        <v>52</v>
      </c>
      <c r="S18" s="187">
        <f t="shared" si="15"/>
        <v>775</v>
      </c>
      <c r="T18" s="187">
        <f t="shared" si="15"/>
        <v>290</v>
      </c>
      <c r="U18" s="187">
        <f t="shared" si="15"/>
        <v>268</v>
      </c>
      <c r="V18" s="187">
        <f t="shared" si="15"/>
        <v>733</v>
      </c>
      <c r="W18" s="187">
        <f t="shared" si="15"/>
        <v>47</v>
      </c>
      <c r="X18" s="187">
        <f t="shared" si="15"/>
        <v>163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775</v>
      </c>
      <c r="AZ18" s="187">
        <f>SUBTOTAL(9,AZ14:AZ17)</f>
        <v>290</v>
      </c>
      <c r="BA18" s="187">
        <f>SUBTOTAL(9,BA14:BA17)</f>
        <v>268</v>
      </c>
      <c r="BB18" s="187">
        <f>SUBTOTAL(9,BB14:BB17)</f>
        <v>733</v>
      </c>
      <c r="BC18" s="187">
        <f>SUBTOTAL(9,BC14:BC17)</f>
        <v>47</v>
      </c>
      <c r="BD18" s="208">
        <f>IF(ISNUMBER(BA18/AZ18),BA18/AZ18," - ")</f>
        <v>0.92413793103448272</v>
      </c>
      <c r="BE18" s="209">
        <f>IF(ISNUMBER(BB18/BA18),BB18/BA18, " - ")</f>
        <v>2.7350746268656718</v>
      </c>
      <c r="BF18" s="209">
        <f>IF(ISNUMBER(BC18/BA18),BC18/BA18, " - ")</f>
        <v>0.17537313432835822</v>
      </c>
      <c r="BG18" s="210">
        <f>IF(ISNUMBER((AY18+AZ18)/BA18),(AY18+AZ18)/BA18," - ")</f>
        <v>3.9738805970149254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1944</v>
      </c>
      <c r="J19" s="134">
        <f t="shared" si="18"/>
        <v>604</v>
      </c>
      <c r="K19" s="134">
        <f t="shared" si="18"/>
        <v>680</v>
      </c>
      <c r="L19" s="134">
        <f t="shared" si="18"/>
        <v>1868</v>
      </c>
      <c r="M19" s="134">
        <f t="shared" si="18"/>
        <v>119</v>
      </c>
      <c r="N19" s="134">
        <f t="shared" si="18"/>
        <v>406</v>
      </c>
      <c r="O19" s="134">
        <f t="shared" si="18"/>
        <v>136</v>
      </c>
      <c r="P19" s="134">
        <f t="shared" si="18"/>
        <v>83</v>
      </c>
      <c r="Q19" s="134">
        <f t="shared" si="18"/>
        <v>24</v>
      </c>
      <c r="R19" s="134">
        <f t="shared" si="18"/>
        <v>1434</v>
      </c>
      <c r="S19" s="134">
        <f t="shared" si="18"/>
        <v>1547</v>
      </c>
      <c r="T19" s="134">
        <f t="shared" si="18"/>
        <v>540</v>
      </c>
      <c r="U19" s="134">
        <f t="shared" si="18"/>
        <v>513</v>
      </c>
      <c r="V19" s="134">
        <f t="shared" si="18"/>
        <v>1487</v>
      </c>
      <c r="W19" s="134">
        <f t="shared" si="18"/>
        <v>111</v>
      </c>
      <c r="X19" s="134">
        <f t="shared" si="18"/>
        <v>265</v>
      </c>
      <c r="Y19" s="134">
        <f t="shared" si="18"/>
        <v>57</v>
      </c>
      <c r="Z19" s="134">
        <f t="shared" si="18"/>
        <v>9</v>
      </c>
      <c r="AA19" s="134">
        <f t="shared" si="18"/>
        <v>21</v>
      </c>
      <c r="AB19" s="134">
        <f t="shared" si="18"/>
        <v>45</v>
      </c>
      <c r="AC19" s="134">
        <f t="shared" si="18"/>
        <v>0</v>
      </c>
      <c r="AD19" s="134">
        <f t="shared" si="18"/>
        <v>0</v>
      </c>
      <c r="AE19" s="134">
        <f t="shared" si="18"/>
        <v>0</v>
      </c>
      <c r="AF19" s="134">
        <f t="shared" si="18"/>
        <v>0</v>
      </c>
      <c r="AG19" s="134">
        <f t="shared" si="18"/>
        <v>45</v>
      </c>
      <c r="AH19" s="134">
        <f t="shared" si="18"/>
        <v>18</v>
      </c>
      <c r="AI19" s="134">
        <f t="shared" si="18"/>
        <v>17</v>
      </c>
      <c r="AJ19" s="134">
        <f t="shared" si="18"/>
        <v>43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1592</v>
      </c>
      <c r="AZ19" s="134">
        <f>SUBTOTAL(9,AZ9:AZ18)</f>
        <v>558</v>
      </c>
      <c r="BA19" s="134">
        <f>SUBTOTAL(9,BA9:BA18)</f>
        <v>530</v>
      </c>
      <c r="BB19" s="134">
        <f>SUBTOTAL(9,BB9:BB18)</f>
        <v>1530</v>
      </c>
      <c r="BC19" s="135">
        <f>SUBTOTAL(9,BC9:BC18)</f>
        <v>149</v>
      </c>
      <c r="BD19" s="216">
        <f>IF(ISNUMBER(BA19/AZ19),BA19/AZ19," - ")</f>
        <v>0.94982078853046592</v>
      </c>
      <c r="BE19" s="213">
        <f>IF(ISNUMBER(BB19/BA19),BB19/BA19, " - ")</f>
        <v>2.8867924528301887</v>
      </c>
      <c r="BF19" s="213">
        <f>IF(ISNUMBER(BC19/BA19),BC19/BA19, " - ")</f>
        <v>0.28113207547169811</v>
      </c>
      <c r="BG19" s="135">
        <f>IF(ISNUMBER((AY19+AZ19)/BA19),(AY19+AZ19)/BA19," - ")</f>
        <v>4.0566037735849054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DkCZOHqy+uN/iX+IeEBNVgvdTP5uhs37wNxQOMs4Dzv6rijybVYCKb7BEawkcVfSDLGzVd3ekTo+KqMlMFykQ==" saltValue="8HQb10T/lfMJhGq4j5RW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0vYSmM6gXlDBFfBzilK71e3soU/53yDf9h7hNf6/85rZu1fN4Jkrjn6BdNlDUbyPR37+mllW95VUIqVZXnvQw==" saltValue="u+xaGAVNIL/4zOo/sQv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LA BAÑEZA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82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1382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79</v>
      </c>
      <c r="BD12" s="232">
        <f>IF(ISNUMBER(Datos!N12),Datos!N12," - ")</f>
        <v>150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1.3975903614457832</v>
      </c>
      <c r="BH12" s="263">
        <f>IF(ISNUMBER(((IF(J_V="SI",Datos!L12/Datos!K12,(Datos!L12+Datos!AB12)/(Datos!K12+Datos!AA12)))*11)/factor_trimestre),((IF(J_V="SI",Datos!L12/Datos!K12,(Datos!L12+Datos!AB12)/(Datos!K12+Datos!AA12)))*11)/factor_trimestre," - ")</f>
        <v>8.4137931034482776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4.4595616024187455E-2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23</v>
      </c>
      <c r="AD13" s="902">
        <f t="shared" si="1"/>
        <v>0</v>
      </c>
      <c r="AE13" s="902">
        <f t="shared" si="1"/>
        <v>0</v>
      </c>
      <c r="AF13" s="902">
        <f t="shared" si="1"/>
        <v>2</v>
      </c>
      <c r="AG13" s="902">
        <f t="shared" si="1"/>
        <v>0</v>
      </c>
      <c r="AH13" s="902">
        <f t="shared" si="1"/>
        <v>45</v>
      </c>
      <c r="AI13" s="902">
        <f t="shared" si="1"/>
        <v>0</v>
      </c>
      <c r="AJ13" s="902">
        <f t="shared" si="1"/>
        <v>0</v>
      </c>
      <c r="AK13" s="902">
        <f t="shared" si="1"/>
        <v>0</v>
      </c>
      <c r="AL13" s="902">
        <f t="shared" si="1"/>
        <v>0</v>
      </c>
      <c r="AM13" s="902">
        <f t="shared" si="1"/>
        <v>1382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80</v>
      </c>
      <c r="BD13" s="902">
        <f t="shared" si="1"/>
        <v>150</v>
      </c>
      <c r="BE13" s="902">
        <f t="shared" si="1"/>
        <v>0</v>
      </c>
      <c r="BF13" s="902">
        <f t="shared" si="1"/>
        <v>0</v>
      </c>
      <c r="BG13" s="902">
        <f>IF(ISNUMBER(Datos!K13/Datos!J13),Datos!K13/Datos!J13," - ")</f>
        <v>1.3553719008264462</v>
      </c>
      <c r="BH13" s="906">
        <f>IF(ISNUMBER(((Datos!L13/Datos!K13)*11)/factor_trimestre),((Datos!L13/Datos!K13)*11)/factor_trimestre," - ")</f>
        <v>8.5335365853658551</v>
      </c>
      <c r="BI13" s="902">
        <f>IF(ISNUMBER('Resol  Asuntos'!D13/NºAsuntos!G13),'Resol  Asuntos'!D13/NºAsuntos!G13," - ")</f>
        <v>0.22922636103151864</v>
      </c>
      <c r="BJ13" s="902" t="str">
        <f>IF(ISNUMBER(Datos!CI13/Datos!CJ13),Datos!CI13/Datos!CJ13," - ")</f>
        <v xml:space="preserve"> - </v>
      </c>
      <c r="BK13" s="902">
        <f>SUBTOTAL(9,BK8:BK12)</f>
        <v>0</v>
      </c>
      <c r="BL13" s="902">
        <f>IF(ISNUMBER((I13-AB13+L13)/(F13)),(I13-AB13+L13)/(F13)," - ")</f>
        <v>-1</v>
      </c>
      <c r="BM13" s="907">
        <f>SUBTOTAL(9,BM9:BM12)</f>
        <v>4.4595616024187455E-2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862</v>
      </c>
      <c r="G16" s="601">
        <f>IF(ISNUMBER(IF(D_I="SI",Datos!I16,Datos!I16+Datos!AC16)),IF(D_I="SI",Datos!I16,Datos!I16+Datos!AC16)," - ")</f>
        <v>862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341</v>
      </c>
      <c r="AC16" s="229">
        <f>IF(ISNUMBER(Datos!Q16),Datos!Q16," - ")</f>
        <v>1</v>
      </c>
      <c r="AD16" s="337"/>
      <c r="AE16" s="487"/>
      <c r="AF16" s="599">
        <f>IF(ISNUMBER(IF(D_I="SI",Datos!L16,Datos!L16+Datos!AF16)),IF(D_I="SI",Datos!L16,Datos!L16+Datos!AF16)," - ")</f>
        <v>870</v>
      </c>
      <c r="AG16" s="337"/>
      <c r="AH16" s="337"/>
      <c r="AI16" s="337"/>
      <c r="AJ16" s="337"/>
      <c r="AK16" s="337"/>
      <c r="AL16" s="482"/>
      <c r="AM16" s="338">
        <f>IF(ISNUMBER(Datos!R16),Datos!R16," - ")</f>
        <v>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36</v>
      </c>
      <c r="BD16" s="232">
        <f>IF(ISNUMBER(Datos!N16),Datos!N16," - ")</f>
        <v>246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0.97707736389684818</v>
      </c>
      <c r="BH16" s="263">
        <f>IF(ISNUMBER(((IF(D_I="SI",Datos!L16/Datos!K16,(Datos!L16+Datos!AF16)/(Datos!K16+Datos!AE16)))*11)/factor_trimestre),((IF(D_I="SI",Datos!L16/Datos!K16,(Datos!L16+Datos!AF16)/(Datos!K16+Datos!AE16)))*11)/factor_trimestre," - ")</f>
        <v>7.6539589442815243</v>
      </c>
      <c r="BI16" s="246">
        <f>IF(ISNUMBER('Resol  Asuntos'!D16/NºAsuntos!G16),'Resol  Asuntos'!D16/NºAsuntos!G16," - ")</f>
        <v>0.10557184750733138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65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0.84615384615384615</v>
      </c>
      <c r="BH17" s="263">
        <f>IF(ISNUMBER(((IF(D_I="SI",Datos!L17/Datos!K17,(Datos!L17+Datos!AF17)/(Datos!K17+Datos!AE17)))*11)/factor_trimestre),((IF(D_I="SI",Datos!L17/Datos!K17,(Datos!L17+Datos!AF17)/(Datos!K17+Datos!AE17)))*11)/factor_trimestre," - ")</f>
        <v>17.727272727272727</v>
      </c>
      <c r="BI17" s="246">
        <f>IF(ISNUMBER('Resol  Asuntos'!D17/NºAsuntos!G17),'Resol  Asuntos'!D17/NºAsuntos!G17," - ")</f>
        <v>0.27272727272727271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862</v>
      </c>
      <c r="G18" s="901">
        <f>SUBTOTAL(9,G15:G17)</f>
        <v>925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352</v>
      </c>
      <c r="AC18" s="902">
        <f t="shared" si="4"/>
        <v>1</v>
      </c>
      <c r="AD18" s="902">
        <f t="shared" si="4"/>
        <v>0</v>
      </c>
      <c r="AE18" s="902">
        <f t="shared" si="4"/>
        <v>0</v>
      </c>
      <c r="AF18" s="902">
        <f t="shared" si="4"/>
        <v>935</v>
      </c>
      <c r="AG18" s="902">
        <f t="shared" si="4"/>
        <v>0</v>
      </c>
      <c r="AH18" s="902">
        <f t="shared" si="4"/>
        <v>0</v>
      </c>
      <c r="AI18" s="902">
        <f t="shared" si="4"/>
        <v>0</v>
      </c>
      <c r="AJ18" s="902">
        <f t="shared" si="4"/>
        <v>0</v>
      </c>
      <c r="AK18" s="902">
        <f t="shared" si="4"/>
        <v>0</v>
      </c>
      <c r="AL18" s="902">
        <f t="shared" si="4"/>
        <v>0</v>
      </c>
      <c r="AM18" s="902">
        <f t="shared" si="4"/>
        <v>52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v>
      </c>
      <c r="BD18" s="902">
        <f t="shared" si="4"/>
        <v>256</v>
      </c>
      <c r="BE18" s="902">
        <f t="shared" si="4"/>
        <v>0</v>
      </c>
      <c r="BF18" s="902">
        <f t="shared" si="4"/>
        <v>0</v>
      </c>
      <c r="BG18" s="902">
        <f>IF(ISNUMBER(Datos!K18/Datos!J18),Datos!K18/Datos!J18," - ")</f>
        <v>0.97237569060773477</v>
      </c>
      <c r="BH18" s="906">
        <f>IF(ISNUMBER(((Datos!L18/Datos!K18)*11)/factor_trimestre),((Datos!L18/Datos!K18)*11)/factor_trimestre," - ")</f>
        <v>7.96875</v>
      </c>
      <c r="BI18" s="902">
        <f>SUBTOTAL(9,BI15:BI17)</f>
        <v>0.3782991202346041</v>
      </c>
      <c r="BJ18" s="902">
        <f>SUBTOTAL(9,BJ15:BJ17)</f>
        <v>0</v>
      </c>
      <c r="BK18" s="902">
        <f>SUBTOTAL(9,BK15:BK17)</f>
        <v>0</v>
      </c>
      <c r="BL18" s="902">
        <f>IF(ISNUMBER((I18-AB18+L18)/(F18)),(I18-AB18+L18)/(F18)," - ")</f>
        <v>-0.40835266821345706</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863</v>
      </c>
      <c r="G19" s="823">
        <f t="shared" si="6"/>
        <v>926</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83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353</v>
      </c>
      <c r="AC19" s="824">
        <f t="shared" si="7"/>
        <v>24</v>
      </c>
      <c r="AD19" s="824">
        <f t="shared" si="7"/>
        <v>0</v>
      </c>
      <c r="AE19" s="824">
        <f t="shared" si="7"/>
        <v>0</v>
      </c>
      <c r="AF19" s="831">
        <f t="shared" si="7"/>
        <v>937</v>
      </c>
      <c r="AG19" s="831">
        <f t="shared" si="7"/>
        <v>0</v>
      </c>
      <c r="AH19" s="831">
        <f t="shared" si="7"/>
        <v>45</v>
      </c>
      <c r="AI19" s="831">
        <f t="shared" si="7"/>
        <v>0</v>
      </c>
      <c r="AJ19" s="824">
        <f t="shared" si="7"/>
        <v>0</v>
      </c>
      <c r="AK19" s="831">
        <f t="shared" si="7"/>
        <v>0</v>
      </c>
      <c r="AL19" s="831">
        <f t="shared" si="7"/>
        <v>0</v>
      </c>
      <c r="AM19" s="831">
        <f t="shared" si="7"/>
        <v>1434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119</v>
      </c>
      <c r="BD19" s="823">
        <f t="shared" si="7"/>
        <v>406</v>
      </c>
      <c r="BE19" s="823">
        <f t="shared" si="7"/>
        <v>0</v>
      </c>
      <c r="BF19" s="833">
        <f t="shared" si="7"/>
        <v>0</v>
      </c>
      <c r="BG19" s="918">
        <f>IF(ISNUMBER(Datos!K19/Datos!J19),Datos!K19/Datos!J19," - ")</f>
        <v>1.1258278145695364</v>
      </c>
      <c r="BH19" s="918">
        <f>IF(ISNUMBER(((Datos!L19/Datos!K19)*11)/factor_trimestre),((Datos!L19/Datos!K19)*11)/factor_trimestre," - ")</f>
        <v>8.2411764705882362</v>
      </c>
      <c r="BI19" s="816">
        <f>IF(ISNUMBER(Datos!J19/Datos!I19),Datos!J19/Datos!I19," - ")</f>
        <v>0.31069958847736623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-0.40903823870220163</v>
      </c>
      <c r="BM19" s="892">
        <f>IF(ISNUMBER((Datos!P19-Datos!Q19+R19)/(Datos!R19-Datos!P19+Datos!Q19-R19)),(Datos!P19-Datos!Q19+R19)/(Datos!R19-Datos!P19+Datos!Q19-R19)," - ")</f>
        <v>4.2909090909090911E-2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497.09858177226778</v>
      </c>
      <c r="G21" s="555">
        <f>IF(ISNUMBER(STDEV(G8:G18)),STDEV(G8:G18),"-")</f>
        <v>478.7116042044521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187.49719997909301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34.719831028774706</v>
      </c>
      <c r="BD21" s="554"/>
      <c r="BE21" s="554">
        <f>IF(ISNUMBER(STDEV(BE8:BE18)),STDEV(BE8:BE18),"-")</f>
        <v>0</v>
      </c>
      <c r="BF21" s="559">
        <f>IF(ISNUMBER(STDEV(BF8:BF18)),STDEV(BF8:BF18),"-")</f>
        <v>0</v>
      </c>
      <c r="BG21" s="778">
        <f>IF(ISNUMBER(STDEV(BG8:BG18)),STDEV(BG8:BG18),"-")</f>
        <v>0.33434452637427714</v>
      </c>
      <c r="BH21" s="779">
        <f>IF(ISNUMBER(STDEV(BH8:BH18)),STDEV(BH8:BH18),"-")</f>
        <v>4.1886086569183218</v>
      </c>
      <c r="BI21" s="252">
        <f>IF(ISNUMBER(STDEV(BI8:BI18)),STDEV(BI8:BI18),"-")</f>
        <v>0.11286864490249759</v>
      </c>
      <c r="BJ21" s="233" t="str">
        <f>IF(ISNUMBER(BL21/BM21),BL21/BM21," - ")</f>
        <v xml:space="preserve"> - </v>
      </c>
      <c r="BK21" s="578"/>
      <c r="BL21" s="562">
        <f>IF(ISNUMBER(STDEV(BL8:BL18)),STDEV(BL8:BL18),"-")</f>
        <v>0.4183578403771917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GagAV0eM1v+pLh3GCKARCQ0GKj0Ye92c1afOkUbVskpuUEpiJUyzoMMKlZrCnoFbqBKPwtdaZBE+YzS8XeP4Q==" saltValue="e6Gnk0nunTqf30ei1STO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LA BAÑEZA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1382</v>
      </c>
      <c r="AF12" s="232" t="str">
        <f>IF(ISNUMBER(Datos!BV12),Datos!BV12," - ")</f>
        <v xml:space="preserve"> - </v>
      </c>
      <c r="AG12" s="228" t="str">
        <f>IF(ISNUMBER(Datos!DV12),Datos!DV12," - ")</f>
        <v xml:space="preserve"> - </v>
      </c>
      <c r="AH12" s="301"/>
      <c r="AI12" s="230"/>
      <c r="AJ12" s="228">
        <f>IF(ISNUMBER(Datos!M12),Datos!M12," - ")</f>
        <v>79</v>
      </c>
      <c r="AK12" s="232">
        <f>IF(ISNUMBER(Datos!N12),Datos!N12," - ")</f>
        <v>150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8.4137931034482776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4.4595616024187455E-2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23</v>
      </c>
      <c r="AA13" s="903">
        <f t="shared" si="2"/>
        <v>2</v>
      </c>
      <c r="AB13" s="903">
        <f t="shared" si="2"/>
        <v>0</v>
      </c>
      <c r="AC13" s="903">
        <f t="shared" si="2"/>
        <v>0</v>
      </c>
      <c r="AD13" s="903">
        <f t="shared" si="2"/>
        <v>0</v>
      </c>
      <c r="AE13" s="903">
        <f t="shared" si="2"/>
        <v>1382</v>
      </c>
      <c r="AF13" s="911">
        <f t="shared" si="2"/>
        <v>0</v>
      </c>
      <c r="AG13" s="911">
        <f t="shared" si="2"/>
        <v>0</v>
      </c>
      <c r="AH13" s="911">
        <f t="shared" si="2"/>
        <v>0</v>
      </c>
      <c r="AI13" s="911">
        <f t="shared" si="2"/>
        <v>0</v>
      </c>
      <c r="AJ13" s="911">
        <f t="shared" si="2"/>
        <v>80</v>
      </c>
      <c r="AK13" s="911">
        <f t="shared" si="2"/>
        <v>150</v>
      </c>
      <c r="AL13" s="911">
        <f t="shared" si="2"/>
        <v>0</v>
      </c>
      <c r="AM13" s="911">
        <f t="shared" si="2"/>
        <v>0</v>
      </c>
      <c r="AN13" s="911">
        <f t="shared" si="2"/>
        <v>0</v>
      </c>
      <c r="AO13" s="907">
        <f>IF(ISNUMBER(((NºAsuntos!I13/NºAsuntos!G13)*11)/factor_trimestre),((NºAsuntos!I13/NºAsuntos!G13)*11)/factor_trimestre," - ")</f>
        <v>8.4068767908309461</v>
      </c>
      <c r="AP13" s="913" t="str">
        <f>IF(ISNUMBER(Datos!CI13/Datos!CJ13),Datos!CI13/Datos!CJ13," - ")</f>
        <v xml:space="preserve"> - </v>
      </c>
      <c r="AQ13" s="931">
        <f t="shared" ref="AQ13:AV13" si="3">SUBTOTAL(9,AQ9:AQ12)</f>
        <v>0</v>
      </c>
      <c r="AR13" s="931">
        <f t="shared" si="3"/>
        <v>4.4595616024187455E-2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862</v>
      </c>
      <c r="G16" s="228">
        <f>IF(ISNUMBER(IF(D_I="SI",Datos!I16,Datos!I16+Datos!AC16)),IF(D_I="SI",Datos!I16,Datos!I16+Datos!AC16)," - ")</f>
        <v>862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341</v>
      </c>
      <c r="Z16" s="622">
        <f>IF(ISNUMBER(Datos!Q16),Datos!Q16," - ")</f>
        <v>1</v>
      </c>
      <c r="AA16" s="335">
        <f>IF(ISNUMBER(IF(D_I="SI",Datos!L16,Datos!L16+Datos!AF16)),IF(D_I="SI",Datos!L16,Datos!L16+Datos!AF16)," - ")</f>
        <v>870</v>
      </c>
      <c r="AB16" s="337"/>
      <c r="AC16" s="337"/>
      <c r="AD16" s="487"/>
      <c r="AE16" s="487">
        <f>IF(ISNUMBER(Datos!R16),Datos!R16," - ")</f>
        <v>52</v>
      </c>
      <c r="AF16" s="232" t="str">
        <f>IF(ISNUMBER(Datos!BV16),Datos!BV16," - ")</f>
        <v xml:space="preserve"> - </v>
      </c>
      <c r="AG16" s="228"/>
      <c r="AH16" s="301"/>
      <c r="AI16" s="230"/>
      <c r="AJ16" s="228">
        <f>IF(ISNUMBER(Datos!M16),Datos!M16," - ")</f>
        <v>36</v>
      </c>
      <c r="AK16" s="232">
        <f>IF(ISNUMBER(Datos!N16),Datos!N16," - ")</f>
        <v>246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7.6539589442815243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65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17.727272727272727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862</v>
      </c>
      <c r="G18" s="901">
        <f>SUBTOTAL(9,G15:G17)</f>
        <v>925</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352</v>
      </c>
      <c r="Z18" s="935">
        <f t="shared" si="5"/>
        <v>1</v>
      </c>
      <c r="AA18" s="935">
        <f t="shared" si="5"/>
        <v>935</v>
      </c>
      <c r="AB18" s="935">
        <f t="shared" si="5"/>
        <v>0</v>
      </c>
      <c r="AC18" s="935">
        <f t="shared" si="5"/>
        <v>0</v>
      </c>
      <c r="AD18" s="935">
        <f t="shared" si="5"/>
        <v>0</v>
      </c>
      <c r="AE18" s="935">
        <f t="shared" si="5"/>
        <v>52</v>
      </c>
      <c r="AF18" s="935">
        <f t="shared" si="5"/>
        <v>0</v>
      </c>
      <c r="AG18" s="935">
        <f t="shared" si="5"/>
        <v>0</v>
      </c>
      <c r="AH18" s="935">
        <f t="shared" si="5"/>
        <v>0</v>
      </c>
      <c r="AI18" s="935">
        <f t="shared" si="5"/>
        <v>0</v>
      </c>
      <c r="AJ18" s="935">
        <f t="shared" si="5"/>
        <v>39</v>
      </c>
      <c r="AK18" s="935">
        <f t="shared" si="5"/>
        <v>256</v>
      </c>
      <c r="AL18" s="935">
        <f t="shared" si="5"/>
        <v>0</v>
      </c>
      <c r="AM18" s="935">
        <f t="shared" si="5"/>
        <v>0</v>
      </c>
      <c r="AN18" s="935">
        <f t="shared" si="5"/>
        <v>0</v>
      </c>
      <c r="AO18" s="937">
        <f>IF(ISNUMBER(((NºAsuntos!I18/NºAsuntos!G18)*11)/factor_trimestre),((NºAsuntos!I18/NºAsuntos!G18)*11)/factor_trimestre," - ")</f>
        <v>7.96875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863</v>
      </c>
      <c r="G19" s="823">
        <f t="shared" si="7"/>
        <v>926</v>
      </c>
      <c r="H19" s="824">
        <f t="shared" si="7"/>
        <v>0</v>
      </c>
      <c r="I19" s="823">
        <f t="shared" si="7"/>
        <v>0</v>
      </c>
      <c r="J19" s="825">
        <f t="shared" si="7"/>
        <v>0</v>
      </c>
      <c r="K19" s="823">
        <f t="shared" si="7"/>
        <v>0</v>
      </c>
      <c r="L19" s="826">
        <f t="shared" si="7"/>
        <v>0</v>
      </c>
      <c r="M19" s="823">
        <f t="shared" si="7"/>
        <v>0</v>
      </c>
      <c r="N19" s="824">
        <f t="shared" si="7"/>
        <v>83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353</v>
      </c>
      <c r="Z19" s="830">
        <f t="shared" si="8"/>
        <v>24</v>
      </c>
      <c r="AA19" s="831">
        <f t="shared" si="8"/>
        <v>937</v>
      </c>
      <c r="AB19" s="831">
        <f t="shared" si="8"/>
        <v>0</v>
      </c>
      <c r="AC19" s="831">
        <f t="shared" si="8"/>
        <v>0</v>
      </c>
      <c r="AD19" s="832">
        <f t="shared" si="8"/>
        <v>0</v>
      </c>
      <c r="AE19" s="832">
        <f t="shared" si="8"/>
        <v>1434</v>
      </c>
      <c r="AF19" s="833">
        <f t="shared" si="8"/>
        <v>0</v>
      </c>
      <c r="AG19" s="834">
        <f t="shared" si="8"/>
        <v>0</v>
      </c>
      <c r="AH19" s="835">
        <f t="shared" si="8"/>
        <v>0</v>
      </c>
      <c r="AI19" s="833">
        <f t="shared" si="8"/>
        <v>0</v>
      </c>
      <c r="AJ19" s="823">
        <f t="shared" si="8"/>
        <v>119</v>
      </c>
      <c r="AK19" s="823">
        <f t="shared" si="8"/>
        <v>406</v>
      </c>
      <c r="AL19" s="823">
        <f t="shared" si="8"/>
        <v>0</v>
      </c>
      <c r="AM19" s="836">
        <f t="shared" si="8"/>
        <v>0</v>
      </c>
      <c r="AN19" s="826">
        <f>IF(ISNUMBER(Datos!K19/Datos!J19),Datos!K19/Datos!J19," - ")</f>
        <v>1.1258278145695364</v>
      </c>
      <c r="AO19" s="826">
        <f>IF(ISNUMBER(FIND("06",Criterios!A8,1)),(IF(ISNUMBER(((Datos!R19/Datos!Q19)*11)/factor_trimestre),((Datos!R19/Datos!Q19)*11)/factor_trimestre," - ")),(IF(ISNUMBER(((Datos!L19/Datos!K19)*11)/factor_trimestre),((Datos!L19/Datos!K19)*11)/factor_trimestre," - ")))</f>
        <v>8.2411764705882362</v>
      </c>
      <c r="AP19" s="837" t="str">
        <f>IF(ISNUMBER(Datos!CI19/Datos!CJ19),Datos!CI19/Datos!CJ19," - ")</f>
        <v xml:space="preserve"> - </v>
      </c>
      <c r="AQ19" s="837">
        <f>IF(OR(ISNUMBER(FIND("01",Criterios!A8,1)),ISNUMBER(FIND("02",Criterios!A8,1)),ISNUMBER(FIND("03",Criterios!A8,1)),ISNUMBER(FIND("04",Criterios!A8,1))),(J19-Y19+K19)/(F19-K19),(I19-Y19+K19)/(F19-K19))</f>
        <v>-0.40903823870220163</v>
      </c>
      <c r="AR19" s="837">
        <f>IF(ISNUMBER((Datos!P19-Datos!Q19+O19)/(Datos!R19-Datos!P19+Datos!Q19-O19)),(Datos!P19-Datos!Q19+O19)/(Datos!R19-Datos!P19+Datos!Q19-O19)," - ")</f>
        <v>4.2909090909090911E-2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497.09858177226778</v>
      </c>
      <c r="G21" s="555">
        <f>IF(ISNUMBER(STDEV(G8:G18)),STDEV(G8:G18),"-")</f>
        <v>478.7116042044521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34.719831028774706</v>
      </c>
      <c r="AK21" s="255"/>
      <c r="AL21" s="255">
        <f>IF(ISNUMBER(STDEV(AL8:AL18)),STDEV(AL8:AL18),"-")</f>
        <v>0</v>
      </c>
      <c r="AM21" s="257">
        <f>IF(ISNUMBER(STDEV(AM8:AM18)),STDEV(AM8:AM18),"-")</f>
        <v>0</v>
      </c>
      <c r="AN21" s="542">
        <f>IF(ISNUMBER(STDEV(AN8:AN18)),STDEV(AN8:AN18),"-")</f>
        <v>0</v>
      </c>
      <c r="AO21" s="543">
        <f>IF(ISNUMBER(STDEV(AO8:AO18)),STDEV(AO8:AO18),"-")</f>
        <v>4.1940609907937363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Go9jBxQ2v4h5k6LpOIZ441ZVgyBcWUJAf97KMwcNqnsqdXELcHTcp2Wat3tgEDnKLvwJXa3A1TyyNqEMrG4ew==" saltValue="TgZfvUxygqASTG9653UA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ZKvWxSCbtm58QEVvmp4tiEj6V6/fA28XbK+r5UVSqildeOl5Ny3klG0TdO53L/FK1vUJ1Srt9QglQIkTJgiQ==" saltValue="oUyrc6JhmYkdrhufUKRO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2yktk4vYG902A/y/9hpLoVqAu/P5nFYJLCoF6l9mijpVqPL3fwXpIZU3M7XCITxq1NNoWB7LYlJiitpY7QPGg==" saltValue="tPUdbz6khc/4KovYxoAw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LA BAÑEZA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0.22922636103151864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0.16208751431210258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sN5i+AIvd1CVVyF2h1sdV8kz9RGZe+3ia6U/ysM6LujnPm3gAcR7B1zmwMOpN1rIolSsW4RZX48IR59N0kucA==" saltValue="g/eLdToB/beNJpPAqbO3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l6yCQHyTXsVgT649nSg+BIhdoiDvYOmw/jaNZWb2p6PN0KfoyhYgJC/xZo50txQc654jIAA+Qm/ppRH38MZuA==" saltValue="AMq46dP5jMBERsXhyYA0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LA BAÑEZA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1075</v>
      </c>
      <c r="D12" s="407">
        <f>IF(ISNUMBER(C12/Datos!BH12),C12/Datos!BH12," - ")</f>
        <v>537.5</v>
      </c>
      <c r="E12" s="406">
        <f>IF(ISNUMBER(IF(J_V="SI",Datos!J12,Datos!J12+Datos!Z12)),IF(J_V="SI",Datos!J12,Datos!J12+Datos!Z12)," - ")</f>
        <v>249</v>
      </c>
      <c r="F12" s="407">
        <f>IF(ISNUMBER(E12/B12),E12/B12," - ")</f>
        <v>124.5</v>
      </c>
      <c r="G12" s="406">
        <f>IF(ISNUMBER(IF(J_V="SI",Datos!K12,Datos!K12+Datos!AA12)),IF(J_V="SI",Datos!K12,Datos!K12+Datos!AA12)," - ")</f>
        <v>348</v>
      </c>
      <c r="H12" s="407">
        <f>IF(ISNUMBER(G12/B12),G12/B12," - ")</f>
        <v>174</v>
      </c>
      <c r="I12" s="406">
        <f>IF(ISNUMBER(IF(J_V="SI",Datos!L12,Datos!L12+Datos!AB12)),IF(J_V="SI",Datos!L12,Datos!L12+Datos!AB12)," - ")</f>
        <v>976</v>
      </c>
      <c r="J12" s="407">
        <f>IF(ISNUMBER(I12/B12),I12/B12," - ")</f>
        <v>488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1076</v>
      </c>
      <c r="D13" s="853" t="str">
        <f>IF(ISNUMBER(C13/Datos!BI13),C13/Datos!BI13," - ")</f>
        <v xml:space="preserve"> - </v>
      </c>
      <c r="E13" s="852">
        <f>SUBTOTAL(9,E8:E12)</f>
        <v>251</v>
      </c>
      <c r="F13" s="853">
        <f>IF(ISNUMBER(E13/B13),E13/B13," - ")</f>
        <v>125.5</v>
      </c>
      <c r="G13" s="852">
        <f>SUBTOTAL(9,G8:G12)</f>
        <v>349</v>
      </c>
      <c r="H13" s="853">
        <f>IF(ISNUMBER(G13/B13),G13/B13," - ")</f>
        <v>174.5</v>
      </c>
      <c r="I13" s="852">
        <f>SUBTOTAL(9,I8:I12)</f>
        <v>978</v>
      </c>
      <c r="J13" s="853">
        <f>IF(ISNUMBER(I13/B13),I13/B13," - ")</f>
        <v>489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862</v>
      </c>
      <c r="D16" s="407">
        <f>IF(ISNUMBER(C16/Datos!BH16),C16/Datos!BH16," - ")</f>
        <v>431</v>
      </c>
      <c r="E16" s="406">
        <f>IF(ISNUMBER(IF(D_I="SI",Datos!J16,Datos!J16+Datos!AD16)),IF(D_I="SI",Datos!J16,Datos!J16+Datos!AD16)," - ")</f>
        <v>349</v>
      </c>
      <c r="F16" s="407">
        <f>IF(ISNUMBER(E16/B16),E16/B16," - ")</f>
        <v>174.5</v>
      </c>
      <c r="G16" s="406">
        <f>IF(ISNUMBER(IF(D_I="SI",Datos!K16,Datos!K16+Datos!AE16)),IF(D_I="SI",Datos!K16,Datos!K16+Datos!AE16)," - ")</f>
        <v>341</v>
      </c>
      <c r="H16" s="407">
        <f>IF(ISNUMBER(G16/B16),G16/B16," - ")</f>
        <v>170.5</v>
      </c>
      <c r="I16" s="406">
        <f>IF(ISNUMBER(IF(D_I="SI",Datos!L16,Datos!L16+Datos!AF16)),IF(D_I="SI",Datos!L16,Datos!L16+Datos!AF16)," - ")</f>
        <v>870</v>
      </c>
      <c r="J16" s="407">
        <f>IF(ISNUMBER(I16/B16),I16/B16," - ")</f>
        <v>435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13</v>
      </c>
      <c r="F17" s="407">
        <f>IF(ISNUMBER(E17/B17),E17/B17," - ")</f>
        <v>13</v>
      </c>
      <c r="G17" s="406">
        <f>IF(ISNUMBER(IF(D_I="SI",Datos!K17,Datos!K17+Datos!AE17)),IF(D_I="SI",Datos!K17,Datos!K17+Datos!AE17)," - ")</f>
        <v>11</v>
      </c>
      <c r="H17" s="407">
        <f>IF(ISNUMBER(G17/B17),G17/B17," - ")</f>
        <v>11</v>
      </c>
      <c r="I17" s="406">
        <f>IF(ISNUMBER(IF(D_I="SI",Datos!L17,Datos!L17+Datos!AF17)),IF(D_I="SI",Datos!L17,Datos!L17+Datos!AF17)," - ")</f>
        <v>65</v>
      </c>
      <c r="J17" s="407">
        <f>IF(ISNUMBER(I17/B17),I17/B17," - ")</f>
        <v>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925</v>
      </c>
      <c r="D18" s="853" t="str">
        <f>IF(ISNUMBER(C18/Datos!BI18),C18/Datos!BI18," - ")</f>
        <v xml:space="preserve"> - </v>
      </c>
      <c r="E18" s="852">
        <f>SUBTOTAL(9,E14:E17)</f>
        <v>362</v>
      </c>
      <c r="F18" s="853">
        <f>IF(ISNUMBER(E18/B18),E18/B18," - ")</f>
        <v>181</v>
      </c>
      <c r="G18" s="852">
        <f>SUBTOTAL(9,G14:G17)</f>
        <v>352</v>
      </c>
      <c r="H18" s="853">
        <f>IF(ISNUMBER(G18/B18),G18/B18," - ")</f>
        <v>176</v>
      </c>
      <c r="I18" s="852">
        <f>SUBTOTAL(9,I14:I17)</f>
        <v>935</v>
      </c>
      <c r="J18" s="853">
        <f>IF(ISNUMBER(I18/B18),I18/B18," - ")</f>
        <v>467.5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2001</v>
      </c>
      <c r="D19" s="798" t="str">
        <f>IF(ISNUMBER(C19/Datos!BI19),C19/Datos!BI19," - ")</f>
        <v xml:space="preserve"> - </v>
      </c>
      <c r="E19" s="797">
        <f>SUBTOTAL(9,E9:E18)</f>
        <v>613</v>
      </c>
      <c r="F19" s="798">
        <f>IF(ISNUMBER(E19/B19),E19/B19," - ")</f>
        <v>306.5</v>
      </c>
      <c r="G19" s="797">
        <f>SUBTOTAL(9,G9:G18)</f>
        <v>701</v>
      </c>
      <c r="H19" s="798">
        <f>IF(ISNUMBER(G19/B19),G19/B19," - ")</f>
        <v>350.5</v>
      </c>
      <c r="I19" s="797">
        <f>SUBTOTAL(9,I9:I18)</f>
        <v>1913</v>
      </c>
      <c r="J19" s="798">
        <f>IF(ISNUMBER(I19/B19),I19/B19," - ")</f>
        <v>956.5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Gm5IOvo6zj24DgeXINll0b0GGiv7sHbm4GpayY0mU5gn1uEoJT1TdYqR8LTZkYk0OBpTgltsV63wwtMdfB3eg==" saltValue="cAsHDcuKOfCUjjNZ7XgM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LA BAÑEZA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1382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79</v>
      </c>
      <c r="AM12" s="693">
        <f>IF(ISNUMBER(Datos!N12+DatosP!N16),Datos!N12+DatosP!N16," - ")</f>
        <v>150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8.4137931034482776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4.4595616024187455E-2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23</v>
      </c>
      <c r="AE13" s="942">
        <f t="shared" si="1"/>
        <v>0</v>
      </c>
      <c r="AF13" s="942">
        <f t="shared" si="1"/>
        <v>2</v>
      </c>
      <c r="AG13" s="942">
        <f t="shared" si="1"/>
        <v>0</v>
      </c>
      <c r="AH13" s="942">
        <f t="shared" si="1"/>
        <v>1382</v>
      </c>
      <c r="AI13" s="942">
        <f t="shared" si="1"/>
        <v>0</v>
      </c>
      <c r="AJ13" s="942">
        <f t="shared" si="1"/>
        <v>0</v>
      </c>
      <c r="AK13" s="942">
        <f t="shared" si="1"/>
        <v>0</v>
      </c>
      <c r="AL13" s="942">
        <f t="shared" si="1"/>
        <v>80</v>
      </c>
      <c r="AM13" s="942">
        <f t="shared" si="1"/>
        <v>150</v>
      </c>
      <c r="AN13" s="942">
        <f t="shared" si="1"/>
        <v>0</v>
      </c>
      <c r="AO13" s="942">
        <f t="shared" si="1"/>
        <v>0</v>
      </c>
      <c r="AP13" s="947">
        <f>IF(ISNUMBER(((Datos!L13/Datos!K13)*11)/factor_trimestre),((Datos!L13/Datos!K13)*11)/factor_trimestre," - ")</f>
        <v>8.5335365853658551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4.4595616024187455E-2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7.96875</v>
      </c>
      <c r="AQ18" s="947">
        <f>IF(ISNUMBER(((Datos!M18/Datos!L18)*11)/factor_trimestre),((Datos!M18/Datos!L18)*11)/factor_trimestre," - ")</f>
        <v>0.12513368983957218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-6.1743341404358353E-2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23</v>
      </c>
      <c r="AE19" s="960">
        <f t="shared" si="5"/>
        <v>0</v>
      </c>
      <c r="AF19" s="961">
        <f t="shared" si="5"/>
        <v>2</v>
      </c>
      <c r="AG19" s="961">
        <f t="shared" si="5"/>
        <v>0</v>
      </c>
      <c r="AH19" s="961">
        <f t="shared" si="5"/>
        <v>1382</v>
      </c>
      <c r="AI19" s="961">
        <f t="shared" si="5"/>
        <v>0</v>
      </c>
      <c r="AJ19" s="962">
        <f t="shared" si="5"/>
        <v>0</v>
      </c>
      <c r="AK19" s="962">
        <f t="shared" si="5"/>
        <v>0</v>
      </c>
      <c r="AL19" s="954">
        <f t="shared" si="5"/>
        <v>80</v>
      </c>
      <c r="AM19" s="954">
        <f t="shared" si="5"/>
        <v>150</v>
      </c>
      <c r="AN19" s="954">
        <f t="shared" si="5"/>
        <v>0</v>
      </c>
      <c r="AO19" s="954">
        <f t="shared" si="5"/>
        <v>0</v>
      </c>
      <c r="AP19" s="954">
        <f>IF(ISNUMBER(((Datos!L19/Datos!K19)*11)/factor_trimestre),((Datos!L19/Datos!K19)*11)/factor_trimestre," - ")</f>
        <v>8.2411764705882362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4.2909090909090911E-2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45.614325235244536</v>
      </c>
      <c r="AM21" s="739"/>
      <c r="AN21" s="739">
        <f>IF(ISNUMBER(STDEV(AN8:AN18)),STDEV(AN8:AN18),"-")</f>
        <v>0</v>
      </c>
      <c r="AO21" s="745">
        <f>IF(ISNUMBER(STDEV(AO8:AO18)),STDEV(AO8:AO18),"-")</f>
        <v>0</v>
      </c>
      <c r="AP21" s="782">
        <f>IF(ISNUMBER(STDEV(AP8:AP18)),STDEV(AP8:AP18),"-")</f>
        <v>1.1780127012098103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gtlhYFHjtP2Rj7/bkzT3NXBDW9i2k2x7Jmwk2Sj4xgJOv8rpSv4knMAD0833d57PFMGuuaNx/Gk8kvGQkUxSg==" saltValue="PI3KDMUE2VBKJkCCLx6k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LA BAÑEZA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LjjvRUa2H7wVOR3WMT4X7SKvkhATUVd4Yfxq0xLuTHE5cOoyCy9mxQH7C2R3rQw9DWtLK8K/E4DbZTceaqyiQ==" saltValue="GjCkHu4OV//kp2el7ft5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LA BAÑEZA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79</v>
      </c>
      <c r="E12" s="407">
        <f t="shared" si="0"/>
        <v>39.5</v>
      </c>
      <c r="F12" s="406">
        <f>IF(ISNUMBER(Datos!N12),Datos!N12," - ")</f>
        <v>150</v>
      </c>
      <c r="G12" s="407">
        <f t="shared" si="1"/>
        <v>75</v>
      </c>
      <c r="H12" s="406">
        <f>IF(ISNUMBER(Datos!O12),Datos!O12," - ")</f>
        <v>135</v>
      </c>
      <c r="I12" s="407">
        <f t="shared" si="2"/>
        <v>67.5</v>
      </c>
    </row>
    <row r="13" spans="1:9" ht="14.25" thickTop="1" thickBot="1">
      <c r="A13" s="851" t="str">
        <f>Datos!A13</f>
        <v>TOTAL</v>
      </c>
      <c r="B13" s="852">
        <f>Datos!AO13</f>
        <v>3</v>
      </c>
      <c r="C13" s="854">
        <f>Datos!AR13</f>
        <v>2</v>
      </c>
      <c r="D13" s="852">
        <f>SUBTOTAL(9,D9:D12)</f>
        <v>80</v>
      </c>
      <c r="E13" s="853">
        <f t="shared" si="0"/>
        <v>26.666666666666668</v>
      </c>
      <c r="F13" s="852">
        <f>SUBTOTAL(9,F9:F12)</f>
        <v>150</v>
      </c>
      <c r="G13" s="853">
        <f t="shared" si="1"/>
        <v>50</v>
      </c>
      <c r="H13" s="852">
        <f>SUBTOTAL(9,H9:H12)</f>
        <v>135</v>
      </c>
      <c r="I13" s="853">
        <f>IF(ISNUMBER(H13/B13),H13/B13," - ")</f>
        <v>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36</v>
      </c>
      <c r="E16" s="407">
        <f t="shared" si="3"/>
        <v>18</v>
      </c>
      <c r="F16" s="406">
        <f>IF(ISNUMBER(Datos!N16),Datos!N16," - ")</f>
        <v>246</v>
      </c>
      <c r="G16" s="407">
        <f t="shared" si="4"/>
        <v>123</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3</v>
      </c>
      <c r="C18" s="854">
        <f>Datos!AR18</f>
        <v>2</v>
      </c>
      <c r="D18" s="852">
        <f>SUBTOTAL(9,D15:D17)</f>
        <v>39</v>
      </c>
      <c r="E18" s="853">
        <f t="shared" si="3"/>
        <v>13</v>
      </c>
      <c r="F18" s="852">
        <f>SUBTOTAL(9,F15:F17)</f>
        <v>256</v>
      </c>
      <c r="G18" s="853">
        <f t="shared" si="4"/>
        <v>85.333333333333329</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119</v>
      </c>
      <c r="E19" s="798">
        <f>IF(ISNUMBER(D19/B19),D19/B19," - ")</f>
        <v>59.5</v>
      </c>
      <c r="F19" s="797">
        <f>SUBTOTAL(9,F8:F18)</f>
        <v>406</v>
      </c>
      <c r="G19" s="798">
        <f>IF(ISNUMBER(F19/B19),F19/B19," - ")</f>
        <v>203</v>
      </c>
      <c r="H19" s="797">
        <f>SUBTOTAL(9,H8:H18)</f>
        <v>136</v>
      </c>
      <c r="I19" s="798">
        <f>IF(ISNUMBER(H19/B19),H19/B19," - ")</f>
        <v>68</v>
      </c>
    </row>
    <row r="22" spans="1:9">
      <c r="A22" s="394" t="str">
        <f>Criterios!A4</f>
        <v>Fecha Informe: 07 mar. 2024</v>
      </c>
    </row>
    <row r="27" spans="1:9">
      <c r="A27" s="417"/>
    </row>
  </sheetData>
  <sheetProtection algorithmName="SHA-512" hashValue="4ov7tzjmLXmlW5db9q6NXnZZGgJKXpu5BrztXEngPpgB3fpNxw6wOcsvXzFjcs595mlfoEoknaLMBmm2SWGaZw==" saltValue="oegVtqgSlZbCiXhcvlt6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LA BAÑEZA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82</v>
      </c>
      <c r="C12" s="437">
        <f>IF(ISNUMBER(Datos!Q12),Datos!Q12," - ")</f>
        <v>23</v>
      </c>
      <c r="D12" s="411">
        <f>IF(ISNUMBER(Datos!R12),Datos!R12," - ")</f>
        <v>1382</v>
      </c>
    </row>
    <row r="13" spans="1:4" ht="14.25" thickTop="1" thickBot="1">
      <c r="A13" s="851" t="str">
        <f>Datos!A13</f>
        <v>TOTAL</v>
      </c>
      <c r="B13" s="852">
        <f>SUBTOTAL(9,B9:B12)</f>
        <v>82</v>
      </c>
      <c r="C13" s="856">
        <f>SUBTOTAL(9,C9:C12)</f>
        <v>23</v>
      </c>
      <c r="D13" s="854">
        <f>SUBTOTAL(9,D9:D12)</f>
        <v>1382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1</v>
      </c>
      <c r="D16" s="411">
        <f>IF(ISNUMBER(Datos!R16),Datos!R16," - ")</f>
        <v>52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1</v>
      </c>
      <c r="D18" s="854">
        <f>SUBTOTAL(9,D15:D17)</f>
        <v>52</v>
      </c>
    </row>
    <row r="19" spans="1:4" ht="16.5" customHeight="1" thickTop="1" thickBot="1">
      <c r="A19" s="796" t="str">
        <f>Datos!A19</f>
        <v>TOTAL JURISDICCIONES</v>
      </c>
      <c r="B19" s="801">
        <f>SUBTOTAL(9,B8:B18)</f>
        <v>83</v>
      </c>
      <c r="C19" s="802">
        <f>SUBTOTAL(9,C8:C18)</f>
        <v>24</v>
      </c>
      <c r="D19" s="803">
        <f>SUBTOTAL(9,D8:D18)</f>
        <v>1434</v>
      </c>
    </row>
    <row r="20" spans="1:4" ht="7.5" customHeight="1"/>
    <row r="21" spans="1:4" ht="6" customHeight="1"/>
    <row r="22" spans="1:4">
      <c r="A22" s="394" t="str">
        <f>Criterios!A4</f>
        <v>Fecha Informe: 07 mar. 2024</v>
      </c>
    </row>
    <row r="27" spans="1:4">
      <c r="A27" s="417"/>
    </row>
  </sheetData>
  <sheetProtection algorithmName="SHA-512" hashValue="uBZkaziHeZhqHDElAOaS3GNE9HMlJOSmzhBzG+XFDXe75a48KxTeumQKJXmJrV9LM1FcSUM+YDdguq5lEpQGBg==" saltValue="FURgMojJjuz4KroaftG4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LA BAÑEZA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t="str">
        <f>IF(ISNUMBER((Datos!J10-Datos!T10)/Datos!T10),(Datos!J10-Datos!T10)/Datos!T10," - ")</f>
        <v xml:space="preserve"> - </v>
      </c>
      <c r="D10" s="459">
        <f>IF(ISNUMBER((Datos!K10-Datos!U10)/Datos!U10),(Datos!K10-Datos!U10)/Datos!U10," - ")</f>
        <v>-0.5</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0.32226322263222634</v>
      </c>
      <c r="C12" s="459">
        <f>IF(ISNUMBER(
   IF(J_V="SI",(Datos!J12-Datos!T12)/Datos!T12,(Datos!J12+Datos!Z12-(Datos!T12+Datos!AH12))/(Datos!T12+Datos!AH12))
     ),IF(J_V="SI",(Datos!J12-Datos!T12)/Datos!T12,(Datos!J12+Datos!Z12-(Datos!T12+Datos!AH12))/(Datos!T12+Datos!AH12))," - ")</f>
        <v>-7.0895522388059698E-2</v>
      </c>
      <c r="D12" s="459">
        <f>IF(ISNUMBER(
   IF(J_V="SI",(Datos!K12-Datos!U12)/Datos!U12,(Datos!K12+Datos!AA12-(Datos!U12+Datos!AI12))/(Datos!U12+Datos!AI12))
     ),IF(J_V="SI",(Datos!K12-Datos!U12)/Datos!U12,(Datos!K12+Datos!AA12-(Datos!U12+Datos!AI12))/(Datos!U12+Datos!AI12))," - ")</f>
        <v>0.33846153846153848</v>
      </c>
      <c r="E12" s="459">
        <f>IF(ISNUMBER(
   IF(J_V="SI",(Datos!L12-Datos!V12)/Datos!V12,(Datos!L12+Datos!AB12-(Datos!V12+Datos!AJ12))/(Datos!V12+Datos!AJ12))
     ),IF(J_V="SI",(Datos!L12-Datos!V12)/Datos!V12,(Datos!L12+Datos!AB12-(Datos!V12+Datos!AJ12))/(Datos!V12+Datos!AJ12))," - ")</f>
        <v>0.22767295597484277</v>
      </c>
      <c r="F12" s="459">
        <f>IF(ISNUMBER((Datos!M12-Datos!W12)/Datos!W12),(Datos!M12-Datos!W12)/Datos!W12," - ")</f>
        <v>0.234375</v>
      </c>
      <c r="G12" s="460">
        <f>IF(ISNUMBER((Datos!N12-Datos!X12)/Datos!X12),(Datos!N12-Datos!X12)/Datos!X12," - ")</f>
        <v>0.47058823529411764</v>
      </c>
      <c r="H12" s="458">
        <f>IF(ISNUMBER(((NºAsuntos!G12/NºAsuntos!E12)-Datos!BD12)/Datos!BD12),((NºAsuntos!G12/NºAsuntos!E12)-Datos!BD12)/Datos!BD12," - ")</f>
        <v>0.44059314179796111</v>
      </c>
      <c r="I12" s="459">
        <f>IF(ISNUMBER(((NºAsuntos!I12/NºAsuntos!G12)-Datos!BE12)/Datos!BE12),((NºAsuntos!I12/NºAsuntos!G12)-Datos!BE12)/Datos!BE12," - ")</f>
        <v>-8.2773078869370242E-2</v>
      </c>
      <c r="J12" s="464">
        <f>IF(ISNUMBER((('Resol  Asuntos'!D12/NºAsuntos!G12)-Datos!BF12)/Datos!BF12),(('Resol  Asuntos'!D12/NºAsuntos!G12)-Datos!BF12)/Datos!BF12," - ")</f>
        <v>-0.42134324994365563</v>
      </c>
      <c r="K12" s="465">
        <f>IF(ISNUMBER((((NºAsuntos!C12+NºAsuntos!E12)/NºAsuntos!G12)-Datos!BG12)/Datos!BG12),(((NºAsuntos!C12+NºAsuntos!E12)/NºAsuntos!G12)-Datos!BG12)/Datos!BG12," - ")</f>
        <v>-8.4925622295235398E-2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0.31701346389228885</v>
      </c>
      <c r="C13" s="858">
        <f>IF(ISNUMBER(
   IF(J_V="SI",(Datos!J13-Datos!T13)/Datos!T13,(Datos!J13+Datos!Z13-(Datos!T13+Datos!AH13))/(Datos!T13+Datos!AH13))
     ),IF(J_V="SI",(Datos!J13-Datos!T13)/Datos!T13,(Datos!J13+Datos!Z13-(Datos!T13+Datos!AH13))/(Datos!T13+Datos!AH13))," - ")</f>
        <v>-6.3432835820895525E-2</v>
      </c>
      <c r="D13" s="858">
        <f>IF(ISNUMBER(
   IF(J_V="SI",(Datos!K13-Datos!U13)/Datos!U13,(Datos!K13+Datos!AA13-(Datos!U13+Datos!AI13))/(Datos!U13+Datos!AI13))
     ),IF(J_V="SI",(Datos!K13-Datos!U13)/Datos!U13,(Datos!K13+Datos!AA13-(Datos!U13+Datos!AI13))/(Datos!U13+Datos!AI13))," - ")</f>
        <v>0.33206106870229007</v>
      </c>
      <c r="E13" s="858">
        <f>IF(ISNUMBER(
   IF(J_V="SI",(Datos!L13-Datos!V13)/Datos!V13,(Datos!L13+Datos!AB13-(Datos!V13+Datos!AJ13))/(Datos!V13+Datos!AJ13))
     ),IF(J_V="SI",(Datos!L13-Datos!V13)/Datos!V13,(Datos!L13+Datos!AB13-(Datos!V13+Datos!AJ13))/(Datos!V13+Datos!AJ13))," - ")</f>
        <v>0.22710163111668757</v>
      </c>
      <c r="F13" s="859">
        <f>IF(ISNUMBER((Datos!M13-Datos!W13)/Datos!W13),(Datos!M13-Datos!W13)/Datos!W13," - ")</f>
        <v>0.25</v>
      </c>
      <c r="G13" s="860">
        <f>IF(ISNUMBER((Datos!N13-Datos!X13)/Datos!X13),(Datos!N13-Datos!X13)/Datos!X13," - ")</f>
        <v>0.47058823529411764</v>
      </c>
      <c r="H13" s="860">
        <f>IF(ISNUMBER(((NºAsuntos!G13/NºAsuntos!E13)-Datos!BD13)/Datos!BD13),((NºAsuntos!G13/NºAsuntos!E13)-Datos!BD13)/Datos!BD13," - ")</f>
        <v>0.42228034427176792</v>
      </c>
      <c r="I13" s="860">
        <f>IF(ISNUMBER(((NºAsuntos!I13/NºAsuntos!G13)-Datos!BE13)/Datos!BE13),((NºAsuntos!I13/NºAsuntos!G13)-Datos!BE13)/Datos!BE13," - ")</f>
        <v>-7.8794764032744546E-2</v>
      </c>
      <c r="J13" s="860">
        <f>IF(ISNUMBER((('Resol  Asuntos'!D13/NºAsuntos!G13)-Datos!BF13)/Datos!BF13),(('Resol  Asuntos'!D13/NºAsuntos!G13)-Datos!BF13)/Datos!BF13," - ")</f>
        <v>-0.41120287656609916</v>
      </c>
      <c r="K13" s="860">
        <f>IF(ISNUMBER((((NºAsuntos!C13+NºAsuntos!E13)/NºAsuntos!G13)-Datos!BG13)/Datos!BG13),(((NºAsuntos!C13+NºAsuntos!E13)/NºAsuntos!G13)-Datos!BG13)/Datos!BG13," - ")</f>
        <v>-8.1842789801011354E-2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0.20728291316526612</v>
      </c>
      <c r="C16" s="459">
        <f>IF(ISNUMBER(
   IF(D_I="SI",(Datos!J16-Datos!T16)/Datos!T16,(Datos!J16+Datos!AD16-(Datos!T16+Datos!AL16))/(Datos!T16+Datos!AL16))
     ),IF(D_I="SI",(Datos!J16-Datos!T16)/Datos!T16,(Datos!J16+Datos!AD16-(Datos!T16+Datos!AL16))/(Datos!T16+Datos!AL16))," - ")</f>
        <v>0.2783882783882784</v>
      </c>
      <c r="D16" s="459">
        <f>IF(ISNUMBER(
   IF(D_I="SI",(Datos!K16-Datos!U16)/Datos!U16,(Datos!K16+Datos!AE16-(Datos!U16+Datos!AM16))/(Datos!U16+Datos!AM16))
     ),IF(D_I="SI",(Datos!K16-Datos!U16)/Datos!U16,(Datos!K16+Datos!AE16-(Datos!U16+Datos!AM16))/(Datos!U16+Datos!AM16))," - ")</f>
        <v>0.34251968503937008</v>
      </c>
      <c r="E16" s="459">
        <f>IF(ISNUMBER(
   IF(D_I="SI",(Datos!L16-Datos!V16)/Datos!V16,(Datos!L16+Datos!AF16-(Datos!V16+Datos!AN16))/(Datos!V16+Datos!AN16))
     ),IF(D_I="SI",(Datos!L16-Datos!V16)/Datos!V16,(Datos!L16+Datos!AF16-(Datos!V16+Datos!AN16))/(Datos!V16+Datos!AN16))," - ")</f>
        <v>0.30044843049327352</v>
      </c>
      <c r="F16" s="459">
        <f>IF(ISNUMBER((Datos!M16-Datos!W16)/Datos!W16),(Datos!M16-Datos!W16)/Datos!W16," - ")</f>
        <v>-0.23404255319148937</v>
      </c>
      <c r="G16" s="460">
        <f>IF(ISNUMBER((Datos!N16-Datos!X16)/Datos!X16),(Datos!N16-Datos!X16)/Datos!X16," - ")</f>
        <v>0.62913907284768211</v>
      </c>
      <c r="H16" s="458">
        <f>IF(ISNUMBER(((NºAsuntos!G16/NºAsuntos!E16)-Datos!BD16)/Datos!BD16),((NºAsuntos!G16/NºAsuntos!E16)-Datos!BD16)/Datos!BD16," - ")</f>
        <v>5.0165828125352543E-2</v>
      </c>
      <c r="I16" s="459">
        <f>IF(ISNUMBER(((NºAsuntos!I16/NºAsuntos!G16)-Datos!BE16)/Datos!BE16),((NºAsuntos!I16/NºAsuntos!G16)-Datos!BE16)/Datos!BE16," - ")</f>
        <v>-3.1337532711755281E-2</v>
      </c>
      <c r="J16" s="464">
        <f>IF(ISNUMBER((('Resol  Asuntos'!D16/NºAsuntos!G16)-Datos!BF16)/Datos!BF16),(('Resol  Asuntos'!D16/NºAsuntos!G16)-Datos!BF16)/Datos!BF16," - ")</f>
        <v>-0.42946278155612405</v>
      </c>
      <c r="K16" s="465">
        <f>IF(ISNUMBER((((NºAsuntos!C16+NºAsuntos!E16)/NºAsuntos!G16)-Datos!BG16)/Datos!BG16),(((NºAsuntos!C16+NºAsuntos!E16)/NºAsuntos!G16)-Datos!BG16)/Datos!BG16," - ")</f>
        <v>-8.6083900085272821E-2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3.2786885245901641E-2</v>
      </c>
      <c r="C17" s="459">
        <f>IF(ISNUMBER(
   IF(D_I="SI",(Datos!J17-Datos!T17)/Datos!T17,(Datos!J17+Datos!AD17-(Datos!T17+Datos!AL17))/(Datos!T17+Datos!AL17))
     ),IF(D_I="SI",(Datos!J17-Datos!T17)/Datos!T17,(Datos!J17+Datos!AD17-(Datos!T17+Datos!AL17))/(Datos!T17+Datos!AL17))," - ")</f>
        <v>-0.23529411764705882</v>
      </c>
      <c r="D17" s="459">
        <f>IF(ISNUMBER(
   IF(D_I="SI",(Datos!K17-Datos!U17)/Datos!U17,(Datos!K17+Datos!AE17-(Datos!U17+Datos!AM17))/(Datos!U17+Datos!AM17))
     ),IF(D_I="SI",(Datos!K17-Datos!U17)/Datos!U17,(Datos!K17+Datos!AE17-(Datos!U17+Datos!AM17))/(Datos!U17+Datos!AM17))," - ")</f>
        <v>-0.21428571428571427</v>
      </c>
      <c r="E17" s="459">
        <f>IF(ISNUMBER(
   IF(D_I="SI",(Datos!L17-Datos!V17)/Datos!V17,(Datos!L17+Datos!AF17-(Datos!V17+Datos!AN17))/(Datos!V17+Datos!AN17))
     ),IF(D_I="SI",(Datos!L17-Datos!V17)/Datos!V17,(Datos!L17+Datos!AF17-(Datos!V17+Datos!AN17))/(Datos!V17+Datos!AN17))," - ")</f>
        <v>1.5625E-2</v>
      </c>
      <c r="F17" s="459" t="str">
        <f>IF(ISNUMBER((Datos!M17-Datos!W17)/Datos!W17),(Datos!M17-Datos!W17)/Datos!W17," - ")</f>
        <v xml:space="preserve"> - </v>
      </c>
      <c r="G17" s="460">
        <f>IF(ISNUMBER((Datos!N17-Datos!X17)/Datos!X17),(Datos!N17-Datos!X17)/Datos!X17," - ")</f>
        <v>-0.16666666666666666</v>
      </c>
      <c r="H17" s="458">
        <f>IF(ISNUMBER(((NºAsuntos!G17/NºAsuntos!E17)-Datos!BD17)/Datos!BD17),((NºAsuntos!G17/NºAsuntos!E17)-Datos!BD17)/Datos!BD17," - ")</f>
        <v>2.747252747252751E-2</v>
      </c>
      <c r="I17" s="459">
        <f>IF(ISNUMBER(((NºAsuntos!I17/NºAsuntos!G17)-Datos!BE17)/Datos!BE17),((NºAsuntos!I17/NºAsuntos!G17)-Datos!BE17)/Datos!BE17," - ")</f>
        <v>0.29261363636363646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0.24009324009324015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0.19354838709677419</v>
      </c>
      <c r="C18" s="858">
        <f>IF(ISNUMBER(
   IF(Criterios!B14="SI",(Datos!J18-Datos!T18)/Datos!T18,(Datos!J18+Datos!AD18-(Datos!T18+Datos!AL18))/(Datos!T18+Datos!AL18))
     ),IF(Criterios!B14="SI",(Datos!J18-Datos!T18)/Datos!T18,(Datos!J18+Datos!AD18-(Datos!T18+Datos!AL18))/(Datos!T18+Datos!AL18))," - ")</f>
        <v>0.24827586206896551</v>
      </c>
      <c r="D18" s="858">
        <f>IF(ISNUMBER(
   IF(Criterios!B14="SI",(Datos!K18-Datos!U18)/Datos!U18,(Datos!K18+Datos!AE18-(Datos!U18+Datos!AM18))/(Datos!U18+Datos!AM18))
     ),IF(Criterios!B14="SI",(Datos!K18-Datos!U18)/Datos!U18,(Datos!K18+Datos!AE18-(Datos!U18+Datos!AM18))/(Datos!U18+Datos!AM18))," - ")</f>
        <v>0.31343283582089554</v>
      </c>
      <c r="E18" s="858">
        <f>IF(ISNUMBER(
   IF(Criterios!B14="SI",(Datos!L18-Datos!V18)/Datos!V18,(Datos!L18+Datos!AF18-(Datos!V18+Datos!AN18))/(Datos!V18+Datos!AN18))
     ),IF(Criterios!B14="SI",(Datos!L18-Datos!V18)/Datos!V18,(Datos!L18+Datos!AF18-(Datos!V18+Datos!AN18))/(Datos!V18+Datos!AN18))," - ")</f>
        <v>0.27557980900409279</v>
      </c>
      <c r="F18" s="859">
        <f>IF(ISNUMBER((Datos!M18-Datos!W18)/Datos!W18),(Datos!M18-Datos!W18)/Datos!W18," - ")</f>
        <v>-0.1702127659574468</v>
      </c>
      <c r="G18" s="860">
        <f>IF(ISNUMBER((Datos!N18-Datos!X18)/Datos!X18),(Datos!N18-Datos!X18)/Datos!X18," - ")</f>
        <v>0.57055214723926384</v>
      </c>
      <c r="H18" s="860">
        <f>IF(ISNUMBER(((NºAsuntos!G18/NºAsuntos!E18)-Datos!BD18)/Datos!BD18),((NºAsuntos!G18/NºAsuntos!E18)-Datos!BD18)/Datos!BD18," - ")</f>
        <v>5.2197575657623486E-2</v>
      </c>
      <c r="I18" s="860">
        <f>IF(ISNUMBER(((NºAsuntos!I18/NºAsuntos!G18)-Datos!BE18)/Datos!BE18),((NºAsuntos!I18/NºAsuntos!G18)-Datos!BE18)/Datos!BE18," - ")</f>
        <v>-2.881991814461125E-2</v>
      </c>
      <c r="J18" s="860">
        <f>IF(ISNUMBER((('Resol  Asuntos'!D18/NºAsuntos!G18)-Datos!BF18)/Datos!BF18),(('Resol  Asuntos'!D18/NºAsuntos!G18)-Datos!BF18)/Datos!BF18," - ")</f>
        <v>-0.36823017408123793</v>
      </c>
      <c r="K18" s="860">
        <f>IF(ISNUMBER((((NºAsuntos!C18+NºAsuntos!E18)/NºAsuntos!G18)-Datos!BG18)/Datos!BG18),(((NºAsuntos!C18+NºAsuntos!E18)/NºAsuntos!G18)-Datos!BG18)/Datos!BG18," - ")</f>
        <v>-7.9929577464788723E-2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0.25690954773869346</v>
      </c>
      <c r="C19" s="805">
        <f>IF(ISNUMBER(
   IF(J_V="SI",(Datos!J19-Datos!T19)/Datos!T19,(Datos!J19+Datos!Z19-(Datos!T19+Datos!AH19))/(Datos!T19+Datos!AH19))
     ),IF(J_V="SI",(Datos!J19-Datos!T19)/Datos!T19,(Datos!J19+Datos!Z19-(Datos!T19+Datos!AH19))/(Datos!T19+Datos!AH19))," - ")</f>
        <v>9.8566308243727599E-2</v>
      </c>
      <c r="D19" s="805">
        <f>IF(ISNUMBER(
   IF(J_V="SI",(Datos!K19-Datos!U19)/Datos!U19,(Datos!K19+Datos!AA19-(Datos!U19+Datos!AI19))/(Datos!U19+Datos!AI19))
     ),IF(J_V="SI",(Datos!K19-Datos!U19)/Datos!U19,(Datos!K19+Datos!AA19-(Datos!U19+Datos!AI19))/(Datos!U19+Datos!AI19))," - ")</f>
        <v>0.32264150943396225</v>
      </c>
      <c r="E19" s="805">
        <f>IF(ISNUMBER(
   IF(J_V="SI",(Datos!L19-Datos!V19)/Datos!V19,(Datos!L19+Datos!AB19-(Datos!V19+Datos!AJ19))/(Datos!V19+Datos!AJ19))
     ),IF(J_V="SI",(Datos!L19-Datos!V19)/Datos!V19,(Datos!L19+Datos!AB19-(Datos!V19+Datos!AJ19))/(Datos!V19+Datos!AJ19))," - ")</f>
        <v>0.25032679738562091</v>
      </c>
      <c r="F19" s="806">
        <f>IF(ISNUMBER((Datos!M19-Datos!W19)/Datos!W19),(Datos!M19-Datos!W19)/Datos!W19," - ")</f>
        <v>7.2072072072072071E-2</v>
      </c>
      <c r="G19" s="807">
        <f>IF(ISNUMBER((Datos!N19-Datos!X19)/Datos!X19),(Datos!N19-Datos!X19)/Datos!X19," - ")</f>
        <v>0.5320754716981132</v>
      </c>
      <c r="H19" s="808">
        <f>IF(ISNUMBER((Tasas!B19-Datos!BD19)/Datos!BD19),(Tasas!B19-Datos!BD19)/Datos!BD19," - ")</f>
        <v>0.20397057465603743</v>
      </c>
      <c r="I19" s="809">
        <f>IF(ISNUMBER((Tasas!C19-Datos!BE19)/Datos!BE19),(Tasas!C19-Datos!BE19)/Datos!BE19," - ")</f>
        <v>-5.4674461320429239E-2</v>
      </c>
      <c r="J19" s="810">
        <f>IF(ISNUMBER((Tasas!D19-Datos!BF19)/Datos!BF19),(Tasas!D19-Datos!BF19)/Datos!BF19," - ")</f>
        <v>-0.39616463537228697</v>
      </c>
      <c r="K19" s="810">
        <f>IF(ISNUMBER((Tasas!E19-Datos!BG19)/Datos!BG19),(Tasas!E19-Datos!BG19)/Datos!BG19," - ")</f>
        <v>-8.076833759081703E-2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m9HQyEnLxVz2fOKdqZjJE52WpX7+A3K87mT1xw7O9OqGMb3TirtH4+KB0ZyDtsmwLiCvHECnQHctyQkXT1vxQ==" saltValue="+YFjDRCrZSvpH6HtPDeL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LA BAÑEZA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1.3975903614457832</v>
      </c>
      <c r="C12" s="446">
        <f>IF(ISNUMBER(NºAsuntos!I12/NºAsuntos!G12),NºAsuntos!I12/NºAsuntos!G12," - ")</f>
        <v>2.8045977011494254</v>
      </c>
      <c r="D12" s="447">
        <f>IF(ISNUMBER('Resol  Asuntos'!D12/NºAsuntos!G12),'Resol  Asuntos'!D12/NºAsuntos!G12," - ")</f>
        <v>0.22701149425287356</v>
      </c>
      <c r="E12" s="448">
        <f>IF(ISNUMBER((NºAsuntos!C12+NºAsuntos!E12)/NºAsuntos!G12),(NºAsuntos!C12+NºAsuntos!E12)/NºAsuntos!G12," - ")</f>
        <v>3.8045977011494254</v>
      </c>
      <c r="G12" s="466"/>
    </row>
    <row r="13" spans="1:7" ht="14.25" thickTop="1" thickBot="1">
      <c r="A13" s="851" t="str">
        <f>Datos!A13</f>
        <v>TOTAL</v>
      </c>
      <c r="B13" s="861">
        <f>IF(ISNUMBER(NºAsuntos!G13/NºAsuntos!E13),NºAsuntos!G13/NºAsuntos!E13," - ")</f>
        <v>1.3904382470119523</v>
      </c>
      <c r="C13" s="862">
        <f>IF(ISNUMBER(NºAsuntos!I13/NºAsuntos!G13),NºAsuntos!I13/NºAsuntos!G13," - ")</f>
        <v>2.8022922636103154</v>
      </c>
      <c r="D13" s="863">
        <f>IF(ISNUMBER('Resol  Asuntos'!D13/NºAsuntos!G13),'Resol  Asuntos'!D13/NºAsuntos!G13," - ")</f>
        <v>0.22922636103151864</v>
      </c>
      <c r="E13" s="864">
        <f>IF(ISNUMBER((NºAsuntos!C13+NºAsuntos!E13)/NºAsuntos!G13),(NºAsuntos!C13+NºAsuntos!E13)/NºAsuntos!G13," - ")</f>
        <v>3.8022922636103154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0.97707736389684818</v>
      </c>
      <c r="C16" s="446">
        <f>IF(ISNUMBER(NºAsuntos!I16/NºAsuntos!G16),NºAsuntos!I16/NºAsuntos!G16," - ")</f>
        <v>2.5513196480938416</v>
      </c>
      <c r="D16" s="447">
        <f>IF(ISNUMBER('Resol  Asuntos'!D16/NºAsuntos!G16),'Resol  Asuntos'!D16/NºAsuntos!G16," - ")</f>
        <v>0.10557184750733138</v>
      </c>
      <c r="E16" s="448">
        <f>IF(ISNUMBER((NºAsuntos!C16+NºAsuntos!E16)/NºAsuntos!G16),(NºAsuntos!C16+NºAsuntos!E16)/NºAsuntos!G16," - ")</f>
        <v>3.5513196480938416</v>
      </c>
      <c r="G16" s="466"/>
    </row>
    <row r="17" spans="1:7" ht="13.5" thickBot="1">
      <c r="A17" s="405" t="str">
        <f>Datos!A17</f>
        <v>Jdos. Violencia contra la mujer</v>
      </c>
      <c r="B17" s="445">
        <f>IF(ISNUMBER(NºAsuntos!G17/NºAsuntos!E17),NºAsuntos!G17/NºAsuntos!E17," - ")</f>
        <v>0.84615384615384615</v>
      </c>
      <c r="C17" s="446">
        <f>IF(ISNUMBER(NºAsuntos!I17/NºAsuntos!G17),NºAsuntos!I17/NºAsuntos!G17," - ")</f>
        <v>5.9090909090909092</v>
      </c>
      <c r="D17" s="447">
        <f>IF(ISNUMBER('Resol  Asuntos'!D17/NºAsuntos!G17),'Resol  Asuntos'!D17/NºAsuntos!G17," - ")</f>
        <v>0.27272727272727271</v>
      </c>
      <c r="E17" s="448">
        <f>IF(ISNUMBER((NºAsuntos!C17+NºAsuntos!E17)/NºAsuntos!G17),(NºAsuntos!C17+NºAsuntos!E17)/NºAsuntos!G17," - ")</f>
        <v>6.9090909090909092</v>
      </c>
      <c r="G17" s="466"/>
    </row>
    <row r="18" spans="1:7" ht="14.25" thickTop="1" thickBot="1">
      <c r="A18" s="851" t="str">
        <f>Datos!A18</f>
        <v>TOTAL</v>
      </c>
      <c r="B18" s="861">
        <f>IF(ISNUMBER(NºAsuntos!G18/NºAsuntos!E18),NºAsuntos!G18/NºAsuntos!E18," - ")</f>
        <v>0.97237569060773477</v>
      </c>
      <c r="C18" s="862">
        <f>IF(ISNUMBER(NºAsuntos!I18/NºAsuntos!G18),NºAsuntos!I18/NºAsuntos!G18," - ")</f>
        <v>2.65625</v>
      </c>
      <c r="D18" s="865">
        <f>IF(ISNUMBER('Resol  Asuntos'!D18/NºAsuntos!G18),'Resol  Asuntos'!D18/NºAsuntos!G18," - ")</f>
        <v>0.11079545454545454</v>
      </c>
      <c r="E18" s="864">
        <f>IF(ISNUMBER((NºAsuntos!C18+NºAsuntos!E18)/NºAsuntos!G18),(NºAsuntos!C18+NºAsuntos!E18)/NºAsuntos!G18," - ")</f>
        <v>3.65625</v>
      </c>
      <c r="G18" s="466"/>
    </row>
    <row r="19" spans="1:7" ht="15.75" customHeight="1" thickTop="1" thickBot="1">
      <c r="A19" s="796" t="str">
        <f>Datos!A19</f>
        <v>TOTAL JURISDICCIONES</v>
      </c>
      <c r="B19" s="811">
        <f>IF(ISNUMBER(NºAsuntos!G19/NºAsuntos!E19),NºAsuntos!G19/NºAsuntos!E19," - ")</f>
        <v>1.1435562805872757</v>
      </c>
      <c r="C19" s="812">
        <f>IF(ISNUMBER(NºAsuntos!I19/NºAsuntos!G19),NºAsuntos!I19/NºAsuntos!G19," - ")</f>
        <v>2.7289586305278175</v>
      </c>
      <c r="D19" s="813">
        <f>IF(ISNUMBER('Resol  Asuntos'!D19/NºAsuntos!G19),'Resol  Asuntos'!D19/NºAsuntos!G19," - ")</f>
        <v>0.16975748930099857</v>
      </c>
      <c r="E19" s="814">
        <f>IF(ISNUMBER((NºAsuntos!C19+NºAsuntos!E19)/NºAsuntos!G19),(NºAsuntos!C19+NºAsuntos!E19)/NºAsuntos!G19," - ")</f>
        <v>3.7289586305278175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wprKSl8lhD7JCb9N/6DIFJk+V3PS+gr4XVQzRfi0qwEkjthlTSVvWk04f7MKjrkQslLMvq1CH3NAO4PkpxNvg==" saltValue="9QotKCJr7aXm1XaNiVVk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LA BAÑEZA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1382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79</v>
      </c>
      <c r="AJ12" s="232" t="str">
        <f>IF(ISNUMBER(Datos!BW12),Datos!BW12," - ")</f>
        <v xml:space="preserve"> - </v>
      </c>
      <c r="AK12" s="231" t="str">
        <f>IF(ISNUMBER(Datos!BX12),Datos!BX12," - ")</f>
        <v xml:space="preserve"> - </v>
      </c>
      <c r="AL12" s="246">
        <f>IF(ISNUMBER(NºAsuntos!G12/NºAsuntos!E12),NºAsuntos!G12/NºAsuntos!E12," - ")</f>
        <v>1.3975903614457832</v>
      </c>
      <c r="AM12" s="263">
        <f>IF(ISNUMBER(((NºAsuntos!I12/NºAsuntos!G12)*11)/factor_trimestre),((NºAsuntos!I12/NºAsuntos!G12)*11)/factor_trimestre," - ")</f>
        <v>8.4137931034482776</v>
      </c>
      <c r="AN12" s="247">
        <f>IF(ISNUMBER('Resol  Asuntos'!D12/NºAsuntos!G12),'Resol  Asuntos'!D12/NºAsuntos!G12," - ")</f>
        <v>0.22701149425287356</v>
      </c>
      <c r="AO12" s="248">
        <f>IF(ISNUMBER((NºAsuntos!C12+NºAsuntos!E12)/NºAsuntos!G12),(NºAsuntos!C12+NºAsuntos!E12)/NºAsuntos!G12," - ")</f>
        <v>3.8045977011494254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23</v>
      </c>
      <c r="Y13" s="871">
        <f t="shared" si="4"/>
        <v>24</v>
      </c>
      <c r="Z13" s="871">
        <f t="shared" si="4"/>
        <v>0</v>
      </c>
      <c r="AA13" s="871">
        <f t="shared" si="4"/>
        <v>2</v>
      </c>
      <c r="AB13" s="871">
        <f t="shared" si="4"/>
        <v>1382</v>
      </c>
      <c r="AC13" s="871">
        <f t="shared" si="4"/>
        <v>2</v>
      </c>
      <c r="AD13" s="871">
        <f t="shared" si="4"/>
        <v>0</v>
      </c>
      <c r="AE13" s="875">
        <f t="shared" si="4"/>
        <v>0</v>
      </c>
      <c r="AF13" s="868">
        <f t="shared" si="4"/>
        <v>0</v>
      </c>
      <c r="AG13" s="876">
        <f t="shared" si="4"/>
        <v>0</v>
      </c>
      <c r="AH13" s="873">
        <f t="shared" si="4"/>
        <v>0</v>
      </c>
      <c r="AI13" s="868">
        <f t="shared" si="4"/>
        <v>80</v>
      </c>
      <c r="AJ13" s="870">
        <f t="shared" si="4"/>
        <v>0</v>
      </c>
      <c r="AK13" s="873">
        <f>SUBTOTAL(9,AK9:AK12)</f>
        <v>0</v>
      </c>
      <c r="AL13" s="877">
        <f>IF(ISNUMBER(NºAsuntos!G13/NºAsuntos!E13),NºAsuntos!G13/NºAsuntos!E13," - ")</f>
        <v>1.3904382470119523</v>
      </c>
      <c r="AM13" s="877">
        <f>IF(ISNUMBER(((NºAsuntos!I13/NºAsuntos!G13)*11)/factor_trimestre),((NºAsuntos!I13/NºAsuntos!G13)*11)/factor_trimestre," - ")</f>
        <v>8.4068767908309461</v>
      </c>
      <c r="AN13" s="878">
        <f>IF(ISNUMBER('Resol  Asuntos'!D13/NºAsuntos!G13),'Resol  Asuntos'!D13/NºAsuntos!G13," - ")</f>
        <v>0.22922636103151864</v>
      </c>
      <c r="AO13" s="879">
        <f>IF(ISNUMBER((NºAsuntos!C13+NºAsuntos!E13)/NºAsuntos!G13),(NºAsuntos!C13+NºAsuntos!E13)/NºAsuntos!G13," - ")</f>
        <v>3.8022922636103154</v>
      </c>
      <c r="AP13" s="880" t="str">
        <f t="shared" si="2"/>
        <v xml:space="preserve"> - </v>
      </c>
      <c r="AQ13" s="880">
        <f>IF(ISNUMBER((H13-W13+K13)/(F13)),(H13-W13+K13)/(F13)," - ")</f>
        <v>-1</v>
      </c>
      <c r="AR13" s="881">
        <f>IF(ISNUMBER((Datos!P13-Datos!Q13)/(Datos!R13-Datos!P13+Datos!Q13)),(Datos!P13-Datos!Q13)/(Datos!R13-Datos!P13+Datos!Q13)," - ")</f>
        <v>4.4595616024187455E-2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862</v>
      </c>
      <c r="G16" s="336">
        <f>IF(ISNUMBER(IF(D_I="SI",Datos!I16,Datos!I16+Datos!AC16)),IF(D_I="SI",Datos!I16,Datos!I16+Datos!AC16)," - ")</f>
        <v>862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341</v>
      </c>
      <c r="X16" s="229">
        <f>IF(ISNUMBER(Datos!Q16),Datos!Q16," - ")</f>
        <v>1</v>
      </c>
      <c r="Y16" s="337">
        <f t="shared" ref="Y16:Y17" si="7">SUM(W16:X16)</f>
        <v>342</v>
      </c>
      <c r="Z16" s="338" t="str">
        <f>IF(ISNUMBER(Datos!CC16),Datos!CC16," - ")</f>
        <v xml:space="preserve"> - </v>
      </c>
      <c r="AA16" s="335">
        <f>IF(ISNUMBER(IF(D_I="SI",Datos!L16,Datos!L16+Datos!AF16)),IF(D_I="SI",Datos!L16,Datos!L16+Datos!AF16)," - ")</f>
        <v>870</v>
      </c>
      <c r="AB16" s="337">
        <f>IF(ISNUMBER(Datos!R16),Datos!R16," - ")</f>
        <v>52</v>
      </c>
      <c r="AC16" s="337">
        <f t="shared" si="6"/>
        <v>922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36</v>
      </c>
      <c r="AJ16" s="234" t="str">
        <f>IF(ISNUMBER(Datos!BW16),Datos!BW16," - ")</f>
        <v xml:space="preserve"> - </v>
      </c>
      <c r="AK16" s="235" t="str">
        <f>IF(ISNUMBER(Datos!BX16),Datos!BX16," - ")</f>
        <v xml:space="preserve"> - </v>
      </c>
      <c r="AL16" s="246">
        <f>IF(ISNUMBER(NºAsuntos!G16/NºAsuntos!E16),NºAsuntos!G16/NºAsuntos!E16," - ")</f>
        <v>0.97707736389684818</v>
      </c>
      <c r="AM16" s="263">
        <f>IF(ISNUMBER(((NºAsuntos!I16/NºAsuntos!G16)*11)/factor_trimestre),((NºAsuntos!I16/NºAsuntos!G16)*11)/factor_trimestre," - ")</f>
        <v>7.6539589442815243</v>
      </c>
      <c r="AN16" s="247">
        <f>IF(ISNUMBER('Resol  Asuntos'!D16/NºAsuntos!G16),'Resol  Asuntos'!D16/NºAsuntos!G16," - ")</f>
        <v>0.10557184750733138</v>
      </c>
      <c r="AO16" s="248">
        <f>IF(ISNUMBER((NºAsuntos!C16+NºAsuntos!E16)/NºAsuntos!G16),(NºAsuntos!C16+NºAsuntos!E16)/NºAsuntos!G16," - ")</f>
        <v>3.5513196480938416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65</v>
      </c>
      <c r="AB17" s="337">
        <f>IF(ISNUMBER(Datos!R17),Datos!R17," - ")</f>
        <v>0</v>
      </c>
      <c r="AC17" s="337">
        <f t="shared" si="6"/>
        <v>65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0.84615384615384615</v>
      </c>
      <c r="AM17" s="263">
        <f>IF(ISNUMBER(((NºAsuntos!I17/NºAsuntos!G17)*11)/factor_trimestre),((NºAsuntos!I17/NºAsuntos!G17)*11)/factor_trimestre," - ")</f>
        <v>17.727272727272727</v>
      </c>
      <c r="AN17" s="247">
        <f>IF(ISNUMBER('Resol  Asuntos'!D17/NºAsuntos!G17),'Resol  Asuntos'!D17/NºAsuntos!G17," - ")</f>
        <v>0.27272727272727271</v>
      </c>
      <c r="AO17" s="248">
        <f>IF(ISNUMBER((NºAsuntos!C17+NºAsuntos!E17)/NºAsuntos!G17),(NºAsuntos!C17+NºAsuntos!E17)/NºAsuntos!G17," - ")</f>
        <v>6.9090909090909092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862</v>
      </c>
      <c r="G18" s="869">
        <f>SUBTOTAL(9,G15:G17)</f>
        <v>925</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352</v>
      </c>
      <c r="X18" s="870">
        <f t="shared" si="11"/>
        <v>1</v>
      </c>
      <c r="Y18" s="871">
        <f t="shared" si="11"/>
        <v>353</v>
      </c>
      <c r="Z18" s="871">
        <f t="shared" si="11"/>
        <v>0</v>
      </c>
      <c r="AA18" s="871">
        <f t="shared" si="11"/>
        <v>935</v>
      </c>
      <c r="AB18" s="871">
        <f t="shared" si="11"/>
        <v>52</v>
      </c>
      <c r="AC18" s="871">
        <f t="shared" si="11"/>
        <v>987</v>
      </c>
      <c r="AD18" s="871">
        <f t="shared" si="11"/>
        <v>0</v>
      </c>
      <c r="AE18" s="875">
        <f t="shared" si="11"/>
        <v>0</v>
      </c>
      <c r="AF18" s="868">
        <f t="shared" si="11"/>
        <v>0</v>
      </c>
      <c r="AG18" s="876">
        <f t="shared" si="11"/>
        <v>0</v>
      </c>
      <c r="AH18" s="873">
        <f t="shared" si="11"/>
        <v>0</v>
      </c>
      <c r="AI18" s="868">
        <f t="shared" si="11"/>
        <v>39</v>
      </c>
      <c r="AJ18" s="870">
        <f t="shared" si="11"/>
        <v>0</v>
      </c>
      <c r="AK18" s="873">
        <f t="shared" si="11"/>
        <v>0</v>
      </c>
      <c r="AL18" s="877">
        <f>IF(ISNUMBER(NºAsuntos!G18/NºAsuntos!E18),NºAsuntos!G18/NºAsuntos!E18," - ")</f>
        <v>0.97237569060773477</v>
      </c>
      <c r="AM18" s="877">
        <f>IF(ISNUMBER(((NºAsuntos!I18/NºAsuntos!G18)*11)/factor_trimestre),((NºAsuntos!I18/NºAsuntos!G18)*11)/factor_trimestre," - ")</f>
        <v>7.96875</v>
      </c>
      <c r="AN18" s="878">
        <f>IF(ISNUMBER('Resol  Asuntos'!D18/NºAsuntos!G18),'Resol  Asuntos'!D18/NºAsuntos!G18," - ")</f>
        <v>0.11079545454545454</v>
      </c>
      <c r="AO18" s="879">
        <f>IF(ISNUMBER((NºAsuntos!C18+NºAsuntos!E18)/NºAsuntos!G18),(NºAsuntos!C18+NºAsuntos!E18)/NºAsuntos!G18," - ")</f>
        <v>3.65625</v>
      </c>
      <c r="AP18" s="880" t="str">
        <f t="shared" si="2"/>
        <v xml:space="preserve"> - </v>
      </c>
      <c r="AQ18" s="880">
        <f>IF(ISNUMBER((H18-W18+K18)/(F18)),(H18-W18+K18)/(F18)," - ")</f>
        <v>-0.40835266821345706</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863</v>
      </c>
      <c r="G19" s="824">
        <f t="shared" si="13"/>
        <v>926</v>
      </c>
      <c r="H19" s="823">
        <f t="shared" si="13"/>
        <v>0</v>
      </c>
      <c r="I19" s="825">
        <f t="shared" si="13"/>
        <v>0</v>
      </c>
      <c r="J19" s="825">
        <f t="shared" si="13"/>
        <v>0</v>
      </c>
      <c r="K19" s="884">
        <f t="shared" si="13"/>
        <v>0</v>
      </c>
      <c r="L19" s="825">
        <f t="shared" si="13"/>
        <v>83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353</v>
      </c>
      <c r="X19" s="824">
        <f t="shared" si="14"/>
        <v>24</v>
      </c>
      <c r="Y19" s="831">
        <f t="shared" si="14"/>
        <v>377</v>
      </c>
      <c r="Z19" s="831">
        <f t="shared" si="14"/>
        <v>0</v>
      </c>
      <c r="AA19" s="831">
        <f t="shared" si="14"/>
        <v>937</v>
      </c>
      <c r="AB19" s="831">
        <f t="shared" si="14"/>
        <v>1434</v>
      </c>
      <c r="AC19" s="831">
        <f t="shared" si="14"/>
        <v>989</v>
      </c>
      <c r="AD19" s="831">
        <f t="shared" si="14"/>
        <v>0</v>
      </c>
      <c r="AE19" s="833">
        <f t="shared" si="14"/>
        <v>0</v>
      </c>
      <c r="AF19" s="834">
        <f t="shared" si="14"/>
        <v>0</v>
      </c>
      <c r="AG19" s="835">
        <f t="shared" si="14"/>
        <v>0</v>
      </c>
      <c r="AH19" s="833">
        <f t="shared" si="14"/>
        <v>0</v>
      </c>
      <c r="AI19" s="823">
        <f t="shared" si="14"/>
        <v>119</v>
      </c>
      <c r="AJ19" s="823">
        <f t="shared" si="14"/>
        <v>0</v>
      </c>
      <c r="AK19" s="833">
        <f t="shared" si="14"/>
        <v>0</v>
      </c>
      <c r="AL19" s="887">
        <f>IF(ISNUMBER(NºAsuntos!G19/NºAsuntos!E19),NºAsuntos!G19/NºAsuntos!E19," - ")</f>
        <v>1.1435562805872757</v>
      </c>
      <c r="AM19" s="888">
        <f>IF(ISNUMBER(((NºAsuntos!I19/NºAsuntos!G19)*11)/factor_trimestre),((NºAsuntos!I19/NºAsuntos!G19)*11)/factor_trimestre," - ")</f>
        <v>8.186875891583453</v>
      </c>
      <c r="AN19" s="888">
        <f>IF(ISNUMBER('Resol  Asuntos'!D19/NºAsuntos!G19),'Resol  Asuntos'!D19/NºAsuntos!G19," - ")</f>
        <v>0.16975748930099857</v>
      </c>
      <c r="AO19" s="889">
        <f>IF(ISNUMBER((NºAsuntos!C19+NºAsuntos!E19)/NºAsuntos!G19),(NºAsuntos!C19+NºAsuntos!E19)/NºAsuntos!G19," - ")</f>
        <v>3.7289586305278175</v>
      </c>
      <c r="AP19" s="890" t="str">
        <f t="shared" si="2"/>
        <v xml:space="preserve"> - </v>
      </c>
      <c r="AQ19" s="891">
        <f>IF(OR(ISNUMBER(FIND("01",Criterios!A8,1)),ISNUMBER(FIND("02",Criterios!A8,1)),ISNUMBER(FIND("03",Criterios!A8,1)),ISNUMBER(FIND("04",Criterios!A8,1))),(I19-W19+K19)/(F19-K19),(H19-W19+K19)/(F19-K19))</f>
        <v>-0.40903823870220163</v>
      </c>
      <c r="AR19" s="892">
        <f>IF(ISNUMBER((Datos!P19-Datos!Q19)/(Datos!R19-Datos!P19+Datos!Q19)),(Datos!P19-Datos!Q19)/(Datos!R19-Datos!P19+Datos!Q19)," - ")</f>
        <v>4.2909090909090911E-2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497.09858177226778</v>
      </c>
      <c r="G21" s="256">
        <f>IF(ISNUMBER(STDEV(G8:G18)),STDEV(G8:G18),"-")</f>
        <v>478.7116042044521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187.49719997909301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34.719831028774706</v>
      </c>
      <c r="AJ21" s="255">
        <f t="shared" si="18"/>
        <v>0</v>
      </c>
      <c r="AK21" s="257">
        <f t="shared" si="18"/>
        <v>0</v>
      </c>
      <c r="AL21" s="252">
        <f t="shared" si="18"/>
        <v>0.34185128129507064</v>
      </c>
      <c r="AM21" s="253">
        <f t="shared" si="18"/>
        <v>4.1940609907937363</v>
      </c>
      <c r="AN21" s="253">
        <f t="shared" si="18"/>
        <v>0.33798237988428692</v>
      </c>
      <c r="AO21" s="254">
        <f t="shared" si="18"/>
        <v>1.3980203302645786</v>
      </c>
      <c r="AP21" s="294" t="str">
        <f t="shared" si="18"/>
        <v>-</v>
      </c>
      <c r="AQ21" s="295">
        <f t="shared" si="18"/>
        <v>0.4183578403771917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AG1ib+ETXrG29MwefCkfjrJn/VDjSGtF6nkJf115IdZoICFtNTzmD39g572gYw9B8dMi+CdiliGu61bwwgE2WQ==" saltValue="Y+KOJG3Z23oOBq+Nngdz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LA BAÑEZA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-0.75</v>
      </c>
      <c r="E10" s="351" t="str">
        <f>IF(ISNUMBER((Datos!J10-Datos!T10)/Datos!T10),(Datos!J10-Datos!T10)/Datos!T10," - ")</f>
        <v xml:space="preserve"> - </v>
      </c>
      <c r="F10" s="351">
        <f>IF(ISNUMBER((Datos!K10-Datos!U10)/Datos!U10),(Datos!K10-Datos!U10)/Datos!U10," - ")</f>
        <v>-0.5</v>
      </c>
      <c r="G10" s="352">
        <f>IF(ISNUMBER((Datos!L10-Datos!V10)/Datos!V10),(Datos!L10-Datos!V10)/Datos!V10," - ")</f>
        <v>0</v>
      </c>
      <c r="H10" s="233" t="str">
        <f>IF(ISNUMBER((Datos!M10-Datos!W10)/Datos!W10),(Datos!M10-Datos!W10)/Datos!W10," - ")</f>
        <v xml:space="preserve"> - </v>
      </c>
      <c r="I10" s="353">
        <f>IF(ISNUMBER((Tasas!C10-Datos!BE10)/Datos!BE10),(Tasas!C10-Datos!BE10)/Datos!BE10," - ")</f>
        <v>1</v>
      </c>
      <c r="J10" s="352" t="str">
        <f>IF(ISNUMBER((Tasas!D10-Datos!BF10)/Datos!BF10),(Tasas!D10-Datos!BF10)/Datos!BF10," - ")</f>
        <v xml:space="preserve"> - </v>
      </c>
      <c r="K10" s="354">
        <f>IF(ISNUMBER((Tasas!E10-Datos!BG10)/Datos!BG10),(Tasas!E10-Datos!BG10)/Datos!BG10," - ")</f>
        <v>0.5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0.234375</v>
      </c>
      <c r="I12" s="353">
        <f>IF(ISNUMBER((Tasas!C12-Datos!BE12)/Datos!BE12),(Tasas!C12-Datos!BE12)/Datos!BE12," - ")</f>
        <v>-8.2773078869370242E-2</v>
      </c>
      <c r="J12" s="352">
        <f>IF(ISNUMBER((Tasas!D12-Datos!BF12)/Datos!BF12),(Tasas!D12-Datos!BF12)/Datos!BF12," - ")</f>
        <v>-0.42134324994365563</v>
      </c>
      <c r="K12" s="354">
        <f>IF(ISNUMBER((Tasas!E12-Datos!BG12)/Datos!BG12),(Tasas!E12-Datos!BG12)/Datos!BG12," - ")</f>
        <v>-8.4925622295235398E-2</v>
      </c>
      <c r="M12" t="e">
        <f>IF(Monitorios="SI",Datos!CE12,0)</f>
        <v>#REF!</v>
      </c>
      <c r="N12" t="e">
        <f>IF(Monitorios="SI",Datos!CF12,0)</f>
        <v>#REF!</v>
      </c>
      <c r="O12" t="e">
        <f>IF(Monitorios="SI",Datos!CG12,0)</f>
        <v>#REF!</v>
      </c>
      <c r="P12" t="e">
        <f>IF(Monitorios="SI",Datos!CH12,0)</f>
        <v>#REF!</v>
      </c>
      <c r="Q12">
        <f>IF(J_V="SI",0,Datos!AG12)</f>
        <v>45</v>
      </c>
      <c r="R12">
        <f>IF(J_V="SI",0,Datos!AH12)</f>
        <v>18</v>
      </c>
      <c r="S12">
        <f>IF(J_V="SI",0,Datos!AI12)</f>
        <v>17</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v>
      </c>
      <c r="I13" s="360">
        <f>IF(ISNUMBER((Tasas!C13-Datos!BE13)/Datos!BE13),(Tasas!C13-Datos!BE13)/Datos!BE13," - ")</f>
        <v>-7.8794764032744546E-2</v>
      </c>
      <c r="J13" s="358">
        <f>IF(ISNUMBER((Tasas!D13-Datos!BF13)/Datos!BF13),(Tasas!D13-Datos!BF13)/Datos!BF13," - ")</f>
        <v>-0.41120287656609916</v>
      </c>
      <c r="K13" s="361">
        <f>IF(ISNUMBER((Tasas!E13-Datos!BG13)/Datos!BG13),(Tasas!E13-Datos!BG13)/Datos!BG13," - ")</f>
        <v>-8.1842789801011354E-2</v>
      </c>
      <c r="M13" t="e">
        <f>IF(Monitorios="SI",Datos!CE13,0)</f>
        <v>#REF!</v>
      </c>
      <c r="N13" t="e">
        <f>IF(Monitorios="SI",Datos!CF13,0)</f>
        <v>#REF!</v>
      </c>
      <c r="O13" t="e">
        <f>IF(Monitorios="SI",Datos!CG13,0)</f>
        <v>#REF!</v>
      </c>
      <c r="P13" t="e">
        <f>IF(Monitorios="SI",Datos!CH13,0)</f>
        <v>#REF!</v>
      </c>
      <c r="Q13">
        <f>IF(J_V="SI",0,Datos!AG13)</f>
        <v>45</v>
      </c>
      <c r="R13">
        <f>IF(J_V="SI",0,Datos!AH13)</f>
        <v>18</v>
      </c>
      <c r="S13">
        <f>IF(J_V="SI",0,Datos!AI13)</f>
        <v>17</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0.20728291316526612</v>
      </c>
      <c r="E16" s="351">
        <f>IF(ISNUMBER(
   IF(D_I="SI",(Datos!J16-Datos!T16)/Datos!T16,(Datos!J16+Datos!AD16-(Datos!T16+Datos!AL16))/(Datos!T16+Datos!AL16))
     ),IF(D_I="SI",(Datos!J16-Datos!T16)/Datos!T16,(Datos!J16+Datos!AD16-(Datos!T16+Datos!AL16))/(Datos!T16+Datos!AL16))," - ")</f>
        <v>0.2783882783882784</v>
      </c>
      <c r="F16" s="351">
        <f>IF(ISNUMBER(
   IF(D_I="SI",(Datos!K16-Datos!U16)/Datos!U16,(Datos!K16+Datos!AE16-(Datos!U16+Datos!AM16))/(Datos!U16+Datos!AM16))
     ),IF(D_I="SI",(Datos!K16-Datos!U16)/Datos!U16,(Datos!K16+Datos!AE16-(Datos!U16+Datos!AM16))/(Datos!U16+Datos!AM16))," - ")</f>
        <v>0.34251968503937008</v>
      </c>
      <c r="G16" s="352">
        <f>IF(ISNUMBER(
   IF(D_I="SI",(Datos!L16-Datos!V16)/Datos!V16,(Datos!L16+Datos!AF16-(Datos!V16+Datos!AN16))/(Datos!V16+Datos!AN16))
     ),IF(D_I="SI",(Datos!L16-Datos!V16)/Datos!V16,(Datos!L16+Datos!AF16-(Datos!V16+Datos!AN16))/(Datos!V16+Datos!AN16))," - ")</f>
        <v>0.30044843049327352</v>
      </c>
      <c r="H16" s="233">
        <f>IF(ISNUMBER((Datos!M16-Datos!W16)/Datos!W16),(Datos!M16-Datos!W16)/Datos!W16," - ")</f>
        <v>-0.23404255319148937</v>
      </c>
      <c r="I16" s="353">
        <f>IF(ISNUMBER((Tasas!C16-Datos!BE16)/Datos!BE16),(Tasas!C16-Datos!BE16)/Datos!BE16," - ")</f>
        <v>-3.1337532711755281E-2</v>
      </c>
      <c r="J16" s="352">
        <f>IF(ISNUMBER((Tasas!D16-Datos!BF16)/Datos!BF16),(Tasas!D16-Datos!BF16)/Datos!BF16," - ")</f>
        <v>-0.42946278155612405</v>
      </c>
      <c r="K16" s="354">
        <f>IF(ISNUMBER((Tasas!E16-Datos!BG16)/Datos!BG16),(Tasas!E16-Datos!BG16)/Datos!BG16," - ")</f>
        <v>-8.6083900085272821E-2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3.2786885245901641E-2</v>
      </c>
      <c r="E17" s="351">
        <f>IF(ISNUMBER(
   IF(D_I="SI",(Datos!J17-Datos!T17)/Datos!T17,(Datos!J17+Datos!AD17-(Datos!T17+Datos!AL17))/(Datos!T17+Datos!AL17))
     ),IF(D_I="SI",(Datos!J17-Datos!T17)/Datos!T17,(Datos!J17+Datos!AD17-(Datos!T17+Datos!AL17))/(Datos!T17+Datos!AL17))," - ")</f>
        <v>-0.23529411764705882</v>
      </c>
      <c r="F17" s="351">
        <f>IF(ISNUMBER(
   IF(D_I="SI",(Datos!K17-Datos!U17)/Datos!U17,(Datos!K17+Datos!AE17-(Datos!U17+Datos!AM17))/(Datos!U17+Datos!AM17))
     ),IF(D_I="SI",(Datos!K17-Datos!U17)/Datos!U17,(Datos!K17+Datos!AE17-(Datos!U17+Datos!AM17))/(Datos!U17+Datos!AM17))," - ")</f>
        <v>-0.21428571428571427</v>
      </c>
      <c r="G17" s="352">
        <f>IF(ISNUMBER(
   IF(D_I="SI",(Datos!L17-Datos!V17)/Datos!V17,(Datos!L17+Datos!AF17-(Datos!V17+Datos!AN17))/(Datos!V17+Datos!AN17))
     ),IF(D_I="SI",(Datos!L17-Datos!V17)/Datos!V17,(Datos!L17+Datos!AF17-(Datos!V17+Datos!AN17))/(Datos!V17+Datos!AN17))," - ")</f>
        <v>1.5625E-2</v>
      </c>
      <c r="H17" s="233" t="str">
        <f>IF(ISNUMBER((Datos!M17-Datos!W17)/Datos!W17),(Datos!M17-Datos!W17)/Datos!W17," - ")</f>
        <v xml:space="preserve"> - </v>
      </c>
      <c r="I17" s="353">
        <f>IF(ISNUMBER((Tasas!C17-Datos!BE17)/Datos!BE17),(Tasas!C17-Datos!BE17)/Datos!BE17," - ")</f>
        <v>0.29261363636363646</v>
      </c>
      <c r="J17" s="352" t="str">
        <f>IF(ISNUMBER((Tasas!D17-Datos!BF17)/Datos!BF17),(Tasas!D17-Datos!BF17)/Datos!BF17," - ")</f>
        <v xml:space="preserve"> - </v>
      </c>
      <c r="K17" s="354">
        <f>IF(ISNUMBER((Tasas!E17-Datos!BG17)/Datos!BG17),(Tasas!E17-Datos!BG17)/Datos!BG17," - ")</f>
        <v>0.24009324009324015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0.19354838709677419</v>
      </c>
      <c r="E18" s="357">
        <f>IF(ISNUMBER(
   IF(D_I="SI",(Datos!J18-Datos!T18)/Datos!T18,(Datos!J18+Datos!AD18-(Datos!T18+Datos!AL18))/(Datos!T18+Datos!AL18))
     ),IF(D_I="SI",(Datos!J18-Datos!T18)/Datos!T18,(Datos!J18+Datos!AD18-(Datos!T18+Datos!AL18))/(Datos!T18+Datos!AL18))," - ")</f>
        <v>0.24827586206896551</v>
      </c>
      <c r="F18" s="357">
        <f>IF(ISNUMBER(
   IF(D_I="SI",(Datos!K18-Datos!U18)/Datos!U18,(Datos!K18+Datos!AE18-(Datos!U18+Datos!AM18))/(Datos!U18+Datos!AM18))
     ),IF(D_I="SI",(Datos!K18-Datos!U18)/Datos!U18,(Datos!K18+Datos!AE18-(Datos!U18+Datos!AM18))/(Datos!U18+Datos!AM18))," - ")</f>
        <v>0.31343283582089554</v>
      </c>
      <c r="G18" s="358">
        <f>IF(ISNUMBER(
   IF(D_I="SI",(Datos!L18-Datos!V18)/Datos!V18,(Datos!L18+Datos!AF18-(Datos!V18+Datos!AN18))/(Datos!V18+Datos!AN18))
     ),IF(D_I="SI",(Datos!L18-Datos!V18)/Datos!V18,(Datos!L18+Datos!AF18-(Datos!V18+Datos!AN18))/(Datos!V18+Datos!AN18))," - ")</f>
        <v>0.27557980900409279</v>
      </c>
      <c r="H18" s="359">
        <f>IF(ISNUMBER((Datos!M18-Datos!W18)/Datos!W18),(Datos!M18-Datos!W18)/Datos!W18," - ")</f>
        <v>-0.1702127659574468</v>
      </c>
      <c r="I18" s="360">
        <f>IF(ISNUMBER((Tasas!C18-Datos!BE18)/Datos!BE18),(Tasas!C18-Datos!BE18)/Datos!BE18," - ")</f>
        <v>-2.881991814461125E-2</v>
      </c>
      <c r="J18" s="358">
        <f>IF(ISNUMBER((Tasas!D18-Datos!BF18)/Datos!BF18),(Tasas!D18-Datos!BF18)/Datos!BF18," - ")</f>
        <v>-0.36823017408123793</v>
      </c>
      <c r="K18" s="361">
        <f>IF(ISNUMBER((Tasas!E18-Datos!BG18)/Datos!BG18),(Tasas!E18-Datos!BG18)/Datos!BG18," - ")</f>
        <v>-7.9929577464788723E-2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0.25690954773869346</v>
      </c>
      <c r="E19" s="366">
        <f>IF(ISNUMBER(
   IF(J_V="SI",(Datos!J19-Datos!T19)/Datos!T19,(Datos!J19+Datos!Z19-(Datos!T19+Datos!AH19))/(Datos!T19+Datos!AH19))
     ),IF(J_V="SI",(Datos!J19-Datos!T19)/Datos!T19,(Datos!J19+Datos!Z19-(Datos!T19+Datos!AH19))/(Datos!T19+Datos!AH19))," - ")</f>
        <v>9.8566308243727599E-2</v>
      </c>
      <c r="F19" s="366">
        <f>IF(ISNUMBER(
   IF(J_V="SI",(Datos!K19-Datos!U19)/Datos!U19,(Datos!K19+Datos!AA19-(Datos!U19+Datos!AI19))/(Datos!U19+Datos!AI19))
     ),IF(J_V="SI",(Datos!K19-Datos!U19)/Datos!U19,(Datos!K19+Datos!AA19-(Datos!U19+Datos!AI19))/(Datos!U19+Datos!AI19))," - ")</f>
        <v>0.32264150943396225</v>
      </c>
      <c r="G19" s="367">
        <f>IF(ISNUMBER(
   IF(J_V="SI",(Datos!L19-Datos!V19)/Datos!V19,(Datos!L19+Datos!AB19-(Datos!V19+Datos!AJ19))/(Datos!V19+Datos!AJ19))
     ),IF(J_V="SI",(Datos!L19-Datos!V19)/Datos!V19,(Datos!L19+Datos!AB19-(Datos!V19+Datos!AJ19))/(Datos!V19+Datos!AJ19))," - ")</f>
        <v>0.25032679738562091</v>
      </c>
      <c r="H19" s="368">
        <f>IF(ISNUMBER((Datos!M19-Datos!W19)/Datos!W19),(Datos!M19-Datos!W19)/Datos!W19," - ")</f>
        <v>7.2072072072072071E-2</v>
      </c>
      <c r="I19" s="365">
        <f>IF(ISNUMBER((Tasas!C19-Datos!BE19)/Datos!BE19),(Tasas!C19-Datos!BE19)/Datos!BE19," - ")</f>
        <v>-5.4674461320429239E-2</v>
      </c>
      <c r="J19" s="366">
        <f>IF(ISNUMBER((Tasas!D19-Datos!BF19)/Datos!BF19),(Tasas!D19-Datos!BF19)/Datos!BF19," - ")</f>
        <v>-0.39616463537228697</v>
      </c>
      <c r="K19" s="367">
        <f>IF(ISNUMBER((Tasas!E19-Datos!BG19)/Datos!BG19),(Tasas!E19-Datos!BG19)/Datos!BG19," - ")</f>
        <v>-8.076833759081703E-2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0.45423114561745914</v>
      </c>
      <c r="E21" s="281">
        <f t="shared" si="1"/>
        <v>0.28827541428749143</v>
      </c>
      <c r="F21" s="281">
        <f t="shared" si="1"/>
        <v>0.4125641583209953</v>
      </c>
      <c r="G21" s="282">
        <f t="shared" si="1"/>
        <v>0.16221820920154811</v>
      </c>
      <c r="H21" s="288">
        <f t="shared" si="1"/>
        <v>0.25792450588583515</v>
      </c>
      <c r="I21" s="280">
        <f t="shared" si="1"/>
        <v>0.4264649401441642</v>
      </c>
      <c r="J21" s="281">
        <f t="shared" si="1"/>
        <v>2.7263012643322704E-2</v>
      </c>
      <c r="K21" s="282">
        <f t="shared" si="1"/>
        <v>0.24807423083029914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VJiq0b+3hLb83SAWKnOkIKKiuFP4JcKE3fywd7uEvQFYpwBEPDScmM6c+gADRFaZkIb8Rj0YGVYXWiKR7QXw==" saltValue="AL6VHIe8DPhZW6XP8Vqi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